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anc\Dropbox\03. Work\10. External Consulting\07. DBE EGRS Synthesis\Updated\"/>
    </mc:Choice>
  </mc:AlternateContent>
  <xr:revisionPtr revIDLastSave="0" documentId="13_ncr:1_{1FE1AE0F-785A-43C2-9D85-77A0553B013E}" xr6:coauthVersionLast="47" xr6:coauthVersionMax="47" xr10:uidLastSave="{00000000-0000-0000-0000-000000000000}"/>
  <bookViews>
    <workbookView xWindow="2088" yWindow="792" windowWidth="19740" windowHeight="11064" activeTab="1" xr2:uid="{54BA8042-7D27-4EBB-A0AD-33D4E739713B}"/>
  </bookViews>
  <sheets>
    <sheet name="Outputs" sheetId="13" r:id="rId1"/>
    <sheet name="Output-Table" sheetId="27" r:id="rId2"/>
    <sheet name="Output-Inflation Adj" sheetId="28" r:id="rId3"/>
    <sheet name="Assumptions" sheetId="8" r:id="rId4"/>
    <sheet name="Unit Costs" sheetId="1" r:id="rId5"/>
    <sheet name="PerTeacherCost_1" sheetId="3" r:id="rId6"/>
    <sheet name="PerTeacherCost_2" sheetId="18" r:id="rId7"/>
    <sheet name="PerTeacherCost_3" sheetId="19" r:id="rId8"/>
    <sheet name="PerTeacherCost_4" sheetId="20" r:id="rId9"/>
    <sheet name="PerTeacherCost_5" sheetId="21" r:id="rId10"/>
    <sheet name="PerTeacherCost_6" sheetId="22" r:id="rId11"/>
    <sheet name="PerTeacherCost_7" sheetId="23" r:id="rId12"/>
    <sheet name="PerTeacherCost_8" sheetId="24" r:id="rId13"/>
    <sheet name="PerTeacherCost_9" sheetId="25" r:id="rId14"/>
    <sheet name="PerTeacherCost_10" sheetId="26" r:id="rId15"/>
    <sheet name="Lists" sheetId="11" r:id="rId16"/>
    <sheet name="Inflation ZAR" sheetId="2" r:id="rId17"/>
    <sheet name="School Nutrition" sheetId="17" state="hidden" r:id="rId18"/>
    <sheet name="SNAP Data" sheetId="5" state="hidden" r:id="rId19"/>
    <sheet name="SNAP Data Pivot (Teach Num)" sheetId="16" state="hidden" r:id="rId20"/>
    <sheet name="SNAP Data Pivot (LER)" sheetId="15" state="hidden" r:id="rId21"/>
    <sheet name="Output - Old Costing Model" sheetId="14" state="hidden" r:id="rId22"/>
  </sheets>
  <definedNames>
    <definedName name="_1DayTraining" localSheetId="3">#REF!</definedName>
    <definedName name="_1DayTraining">#REF!</definedName>
    <definedName name="_2DayTraining" localSheetId="3">#REF!</definedName>
    <definedName name="_2DayTraining">#REF!</definedName>
    <definedName name="_xlnm._FilterDatabase" localSheetId="18" hidden="1">'SNAP Data'!$A$1:$K$1000</definedName>
    <definedName name="Alfred_Nzo_East">#REF!</definedName>
    <definedName name="Amajuba">#REF!</definedName>
    <definedName name="Annual_training" localSheetId="3">#REF!</definedName>
    <definedName name="Annual_training">#REF!</definedName>
    <definedName name="Answer" localSheetId="3">#REF!</definedName>
    <definedName name="Answer">#REF!</definedName>
    <definedName name="Attendees" localSheetId="3">#REF!</definedName>
    <definedName name="Attendees">#REF!</definedName>
    <definedName name="Bohlabela">#REF!</definedName>
    <definedName name="Bojanala">#REF!</definedName>
    <definedName name="Cape_Winelands">#REF!</definedName>
    <definedName name="Capricorn">#REF!</definedName>
    <definedName name="CoachingProgStart" localSheetId="3">#REF!</definedName>
    <definedName name="CoachingProgStart">#REF!</definedName>
    <definedName name="Cover_district" localSheetId="3">#REF!</definedName>
    <definedName name="Cover_district">#REF!</definedName>
    <definedName name="Cover_years" localSheetId="3">#REF!</definedName>
    <definedName name="Cover_years">#REF!</definedName>
    <definedName name="Development_days" localSheetId="3">#REF!</definedName>
    <definedName name="Development_days">#REF!</definedName>
    <definedName name="Ekurhuleni_North">#REF!</definedName>
    <definedName name="ExternalRatio" localSheetId="3">#REF!</definedName>
    <definedName name="ExternalRatio">#REF!</definedName>
    <definedName name="Fezile_Dabi">#REF!</definedName>
    <definedName name="Frances_Baard">#REF!</definedName>
    <definedName name="Funders" localSheetId="3">#REF!</definedName>
    <definedName name="Funders">#REF!</definedName>
    <definedName name="HeadCoachRatio" localSheetId="3">#REF!</definedName>
    <definedName name="HeadCoachRatio">#REF!</definedName>
    <definedName name="HybridRatio" localSheetId="3">#REF!</definedName>
    <definedName name="HybridRatio">#REF!</definedName>
    <definedName name="Inflation" localSheetId="3">#REF!</definedName>
    <definedName name="Inflation">#REF!</definedName>
    <definedName name="Languages" localSheetId="3">#REF!</definedName>
    <definedName name="Languages">#REF!</definedName>
    <definedName name="No">#REF!</definedName>
    <definedName name="Percentage" localSheetId="3">#REF!</definedName>
    <definedName name="Percentage">#REF!</definedName>
    <definedName name="Percentage_zero" localSheetId="3">#REF!</definedName>
    <definedName name="Percentage_zero">#REF!</definedName>
    <definedName name="Province" localSheetId="3">#REF!</definedName>
    <definedName name="Province">#REF!</definedName>
    <definedName name="Small_percentage" localSheetId="3">#REF!</definedName>
    <definedName name="Small_percentage">#REF!</definedName>
    <definedName name="SubjectAdvisorsProvs">#REF!</definedName>
    <definedName name="Subjects" localSheetId="3">#REF!</definedName>
    <definedName name="Subjects">#REF!</definedName>
    <definedName name="TrainingConducted" localSheetId="3">#REF!</definedName>
    <definedName name="TrainingConducted">#REF!</definedName>
    <definedName name="Weeks" localSheetId="3">#REF!</definedName>
    <definedName name="Weeks">#REF!</definedName>
    <definedName name="Workshop_days" localSheetId="3">#REF!</definedName>
    <definedName name="Workshop_days">#REF!</definedName>
    <definedName name="Years" localSheetId="3">#REF!</definedName>
    <definedName name="Years">#REF!</definedName>
    <definedName name="Yes" localSheetId="3">#REF!</definedName>
    <definedName name="Yes">#REF!</definedName>
  </definedNames>
  <calcPr calcId="191029"/>
  <pivotCaches>
    <pivotCache cacheId="5" r:id="rId2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8" l="1"/>
  <c r="E42" i="18" s="1"/>
  <c r="D42" i="3"/>
  <c r="E42" i="3" s="1"/>
  <c r="B2" i="18"/>
  <c r="B9" i="18" s="1"/>
  <c r="B10" i="18" s="1"/>
  <c r="B11" i="18" s="1"/>
  <c r="K4" i="13"/>
  <c r="M4" i="28" l="1"/>
  <c r="D95" i="26"/>
  <c r="E95" i="26" s="1"/>
  <c r="D94" i="26"/>
  <c r="E94" i="26" s="1"/>
  <c r="D91" i="26"/>
  <c r="D90" i="26"/>
  <c r="E90" i="26" s="1"/>
  <c r="D88" i="26"/>
  <c r="E88" i="26" s="1"/>
  <c r="D87" i="26"/>
  <c r="E87" i="26" s="1"/>
  <c r="D86" i="26"/>
  <c r="E86" i="26" s="1"/>
  <c r="D85" i="26"/>
  <c r="E85" i="26" s="1"/>
  <c r="D84" i="26"/>
  <c r="E84" i="26" s="1"/>
  <c r="D83" i="26"/>
  <c r="E83" i="26" s="1"/>
  <c r="D81" i="26"/>
  <c r="E81" i="26" s="1"/>
  <c r="D80" i="26"/>
  <c r="E80" i="26" s="1"/>
  <c r="D79" i="26"/>
  <c r="E79" i="26" s="1"/>
  <c r="D78" i="26"/>
  <c r="E78" i="26" s="1"/>
  <c r="D77" i="26"/>
  <c r="E77" i="26" s="1"/>
  <c r="D76" i="26"/>
  <c r="E76" i="26" s="1"/>
  <c r="D72" i="26"/>
  <c r="E72" i="26" s="1"/>
  <c r="D70" i="26"/>
  <c r="E70" i="26" s="1"/>
  <c r="D69" i="26"/>
  <c r="E69" i="26" s="1"/>
  <c r="D67" i="26"/>
  <c r="E67" i="26" s="1"/>
  <c r="D66" i="26"/>
  <c r="E66" i="26" s="1"/>
  <c r="D65" i="26"/>
  <c r="E65" i="26" s="1"/>
  <c r="D64" i="26"/>
  <c r="E64" i="26" s="1"/>
  <c r="D63" i="26"/>
  <c r="E63" i="26" s="1"/>
  <c r="D62" i="26"/>
  <c r="E62" i="26" s="1"/>
  <c r="D60" i="26"/>
  <c r="E60" i="26" s="1"/>
  <c r="D59" i="26"/>
  <c r="E59" i="26" s="1"/>
  <c r="D58" i="26"/>
  <c r="E58" i="26" s="1"/>
  <c r="D57" i="26"/>
  <c r="E57" i="26" s="1"/>
  <c r="D56" i="26"/>
  <c r="E56" i="26" s="1"/>
  <c r="D55" i="26"/>
  <c r="E55" i="26" s="1"/>
  <c r="D39" i="26"/>
  <c r="E39" i="26" s="1"/>
  <c r="D38" i="26"/>
  <c r="E38" i="26" s="1"/>
  <c r="B2" i="26"/>
  <c r="B9" i="26" s="1"/>
  <c r="E91" i="26"/>
  <c r="C31" i="26"/>
  <c r="D31" i="26" s="1"/>
  <c r="E31" i="26" s="1"/>
  <c r="D95" i="25"/>
  <c r="E95" i="25" s="1"/>
  <c r="D94" i="25"/>
  <c r="E94" i="25" s="1"/>
  <c r="D91" i="25"/>
  <c r="E91" i="25" s="1"/>
  <c r="D90" i="25"/>
  <c r="E90" i="25" s="1"/>
  <c r="D88" i="25"/>
  <c r="E88" i="25" s="1"/>
  <c r="D87" i="25"/>
  <c r="D86" i="25"/>
  <c r="E86" i="25" s="1"/>
  <c r="D85" i="25"/>
  <c r="E85" i="25" s="1"/>
  <c r="D84" i="25"/>
  <c r="E84" i="25" s="1"/>
  <c r="D83" i="25"/>
  <c r="E83" i="25" s="1"/>
  <c r="D81" i="25"/>
  <c r="E81" i="25" s="1"/>
  <c r="D80" i="25"/>
  <c r="E80" i="25" s="1"/>
  <c r="D79" i="25"/>
  <c r="E79" i="25" s="1"/>
  <c r="D78" i="25"/>
  <c r="E78" i="25" s="1"/>
  <c r="D77" i="25"/>
  <c r="E77" i="25" s="1"/>
  <c r="D76" i="25"/>
  <c r="E76" i="25" s="1"/>
  <c r="D72" i="25"/>
  <c r="E72" i="25" s="1"/>
  <c r="D70" i="25"/>
  <c r="E70" i="25" s="1"/>
  <c r="D69" i="25"/>
  <c r="E69" i="25" s="1"/>
  <c r="D67" i="25"/>
  <c r="E67" i="25" s="1"/>
  <c r="D66" i="25"/>
  <c r="E66" i="25" s="1"/>
  <c r="D65" i="25"/>
  <c r="E65" i="25" s="1"/>
  <c r="D64" i="25"/>
  <c r="E64" i="25" s="1"/>
  <c r="D63" i="25"/>
  <c r="E63" i="25" s="1"/>
  <c r="D62" i="25"/>
  <c r="E62" i="25" s="1"/>
  <c r="D60" i="25"/>
  <c r="E60" i="25" s="1"/>
  <c r="D59" i="25"/>
  <c r="E59" i="25" s="1"/>
  <c r="D58" i="25"/>
  <c r="E58" i="25" s="1"/>
  <c r="D57" i="25"/>
  <c r="E57" i="25" s="1"/>
  <c r="D56" i="25"/>
  <c r="E56" i="25" s="1"/>
  <c r="D55" i="25"/>
  <c r="E55" i="25" s="1"/>
  <c r="D39" i="25"/>
  <c r="E39" i="25" s="1"/>
  <c r="D38" i="25"/>
  <c r="E38" i="25" s="1"/>
  <c r="D35" i="25"/>
  <c r="E35" i="25" s="1"/>
  <c r="D28" i="25"/>
  <c r="E28" i="25" s="1"/>
  <c r="D27" i="25"/>
  <c r="E27" i="25" s="1"/>
  <c r="D26" i="25"/>
  <c r="E26" i="25" s="1"/>
  <c r="D20" i="25"/>
  <c r="E20" i="25" s="1"/>
  <c r="D19" i="25"/>
  <c r="E19" i="25" s="1"/>
  <c r="D18" i="25"/>
  <c r="E18" i="25" s="1"/>
  <c r="B2" i="25"/>
  <c r="B9" i="25" s="1"/>
  <c r="E87" i="25"/>
  <c r="C31" i="25"/>
  <c r="D31" i="25" s="1"/>
  <c r="E31" i="25" s="1"/>
  <c r="D72" i="24"/>
  <c r="E72" i="24" s="1"/>
  <c r="D70" i="24"/>
  <c r="E70" i="24" s="1"/>
  <c r="D69" i="24"/>
  <c r="E69" i="24" s="1"/>
  <c r="D67" i="24"/>
  <c r="E67" i="24" s="1"/>
  <c r="D66" i="24"/>
  <c r="E66" i="24" s="1"/>
  <c r="D65" i="24"/>
  <c r="E65" i="24" s="1"/>
  <c r="D64" i="24"/>
  <c r="D63" i="24"/>
  <c r="E63" i="24" s="1"/>
  <c r="D62" i="24"/>
  <c r="E62" i="24" s="1"/>
  <c r="D60" i="24"/>
  <c r="E60" i="24" s="1"/>
  <c r="D59" i="24"/>
  <c r="E59" i="24" s="1"/>
  <c r="D58" i="24"/>
  <c r="E58" i="24" s="1"/>
  <c r="D57" i="24"/>
  <c r="E57" i="24" s="1"/>
  <c r="D56" i="24"/>
  <c r="E56" i="24" s="1"/>
  <c r="D55" i="24"/>
  <c r="E55" i="24" s="1"/>
  <c r="D43" i="24"/>
  <c r="E43" i="24" s="1"/>
  <c r="D42" i="24"/>
  <c r="E42" i="24" s="1"/>
  <c r="D31" i="24"/>
  <c r="E31" i="24" s="1"/>
  <c r="B2" i="24"/>
  <c r="B9" i="24" s="1"/>
  <c r="E64" i="24"/>
  <c r="C31" i="24"/>
  <c r="D95" i="23"/>
  <c r="D94" i="23"/>
  <c r="E94" i="23" s="1"/>
  <c r="D91" i="23"/>
  <c r="E91" i="23" s="1"/>
  <c r="D90" i="23"/>
  <c r="E90" i="23" s="1"/>
  <c r="D88" i="23"/>
  <c r="E88" i="23" s="1"/>
  <c r="D87" i="23"/>
  <c r="E87" i="23" s="1"/>
  <c r="D86" i="23"/>
  <c r="E86" i="23" s="1"/>
  <c r="D85" i="23"/>
  <c r="E85" i="23" s="1"/>
  <c r="D84" i="23"/>
  <c r="E84" i="23" s="1"/>
  <c r="D83" i="23"/>
  <c r="E83" i="23" s="1"/>
  <c r="D81" i="23"/>
  <c r="E81" i="23" s="1"/>
  <c r="D80" i="23"/>
  <c r="E80" i="23" s="1"/>
  <c r="D79" i="23"/>
  <c r="E79" i="23" s="1"/>
  <c r="D78" i="23"/>
  <c r="E78" i="23" s="1"/>
  <c r="D77" i="23"/>
  <c r="E77" i="23" s="1"/>
  <c r="D76" i="23"/>
  <c r="E76" i="23" s="1"/>
  <c r="D70" i="23"/>
  <c r="E70" i="23" s="1"/>
  <c r="D69" i="23"/>
  <c r="E69" i="23" s="1"/>
  <c r="D43" i="23"/>
  <c r="E43" i="23" s="1"/>
  <c r="D42" i="23"/>
  <c r="E42" i="23" s="1"/>
  <c r="D31" i="23"/>
  <c r="E31" i="23" s="1"/>
  <c r="B2" i="23"/>
  <c r="B9" i="23" s="1"/>
  <c r="E95" i="23"/>
  <c r="C31" i="23"/>
  <c r="D95" i="22"/>
  <c r="E95" i="22" s="1"/>
  <c r="D94" i="22"/>
  <c r="E94" i="22" s="1"/>
  <c r="D91" i="22"/>
  <c r="E91" i="22" s="1"/>
  <c r="D90" i="22"/>
  <c r="E90" i="22" s="1"/>
  <c r="D88" i="22"/>
  <c r="E88" i="22" s="1"/>
  <c r="D87" i="22"/>
  <c r="E87" i="22" s="1"/>
  <c r="D86" i="22"/>
  <c r="E86" i="22" s="1"/>
  <c r="D85" i="22"/>
  <c r="E85" i="22" s="1"/>
  <c r="D84" i="22"/>
  <c r="D83" i="22"/>
  <c r="E83" i="22" s="1"/>
  <c r="D81" i="22"/>
  <c r="E81" i="22" s="1"/>
  <c r="D80" i="22"/>
  <c r="E80" i="22" s="1"/>
  <c r="D79" i="22"/>
  <c r="E79" i="22" s="1"/>
  <c r="D78" i="22"/>
  <c r="E78" i="22" s="1"/>
  <c r="D77" i="22"/>
  <c r="E77" i="22" s="1"/>
  <c r="D76" i="22"/>
  <c r="E76" i="22" s="1"/>
  <c r="D72" i="22"/>
  <c r="E72" i="22" s="1"/>
  <c r="D43" i="22"/>
  <c r="E43" i="22" s="1"/>
  <c r="D42" i="22"/>
  <c r="E42" i="22" s="1"/>
  <c r="D31" i="22"/>
  <c r="E31" i="22" s="1"/>
  <c r="B2" i="22"/>
  <c r="B9" i="22" s="1"/>
  <c r="E84" i="22"/>
  <c r="C31" i="22"/>
  <c r="D95" i="21"/>
  <c r="D94" i="21"/>
  <c r="E94" i="21" s="1"/>
  <c r="D91" i="21"/>
  <c r="E91" i="21" s="1"/>
  <c r="D90" i="21"/>
  <c r="E90" i="21" s="1"/>
  <c r="D88" i="21"/>
  <c r="E88" i="21" s="1"/>
  <c r="D87" i="21"/>
  <c r="E87" i="21" s="1"/>
  <c r="D86" i="21"/>
  <c r="E86" i="21" s="1"/>
  <c r="D85" i="21"/>
  <c r="E85" i="21" s="1"/>
  <c r="D84" i="21"/>
  <c r="E84" i="21" s="1"/>
  <c r="D83" i="21"/>
  <c r="E83" i="21" s="1"/>
  <c r="D81" i="21"/>
  <c r="E81" i="21" s="1"/>
  <c r="D80" i="21"/>
  <c r="E80" i="21" s="1"/>
  <c r="D79" i="21"/>
  <c r="E79" i="21" s="1"/>
  <c r="D78" i="21"/>
  <c r="E78" i="21" s="1"/>
  <c r="D77" i="21"/>
  <c r="E77" i="21" s="1"/>
  <c r="D76" i="21"/>
  <c r="E76" i="21" s="1"/>
  <c r="D72" i="21"/>
  <c r="D70" i="21"/>
  <c r="E70" i="21" s="1"/>
  <c r="D69" i="21"/>
  <c r="E69" i="21" s="1"/>
  <c r="D67" i="21"/>
  <c r="E67" i="21" s="1"/>
  <c r="D66" i="21"/>
  <c r="E66" i="21" s="1"/>
  <c r="D65" i="21"/>
  <c r="E65" i="21" s="1"/>
  <c r="D64" i="21"/>
  <c r="E64" i="21" s="1"/>
  <c r="D63" i="21"/>
  <c r="E63" i="21" s="1"/>
  <c r="D62" i="21"/>
  <c r="E62" i="21" s="1"/>
  <c r="D60" i="21"/>
  <c r="E60" i="21" s="1"/>
  <c r="D59" i="21"/>
  <c r="E59" i="21" s="1"/>
  <c r="D58" i="21"/>
  <c r="E58" i="21" s="1"/>
  <c r="D57" i="21"/>
  <c r="E57" i="21" s="1"/>
  <c r="D56" i="21"/>
  <c r="E56" i="21" s="1"/>
  <c r="D55" i="21"/>
  <c r="E55" i="21" s="1"/>
  <c r="D43" i="21"/>
  <c r="E43" i="21" s="1"/>
  <c r="D42" i="21"/>
  <c r="E42" i="21" s="1"/>
  <c r="D31" i="21"/>
  <c r="E31" i="21" s="1"/>
  <c r="B2" i="21"/>
  <c r="B9" i="21" s="1"/>
  <c r="E95" i="21"/>
  <c r="E72" i="21"/>
  <c r="C31" i="21"/>
  <c r="D72" i="20"/>
  <c r="E72" i="20" s="1"/>
  <c r="D70" i="20"/>
  <c r="E70" i="20" s="1"/>
  <c r="D69" i="20"/>
  <c r="E69" i="20" s="1"/>
  <c r="D67" i="20"/>
  <c r="E67" i="20" s="1"/>
  <c r="D66" i="20"/>
  <c r="E66" i="20" s="1"/>
  <c r="D65" i="20"/>
  <c r="E65" i="20" s="1"/>
  <c r="D64" i="20"/>
  <c r="E64" i="20" s="1"/>
  <c r="D63" i="20"/>
  <c r="E63" i="20" s="1"/>
  <c r="D62" i="20"/>
  <c r="E62" i="20" s="1"/>
  <c r="D60" i="20"/>
  <c r="E60" i="20" s="1"/>
  <c r="D59" i="20"/>
  <c r="E59" i="20" s="1"/>
  <c r="D58" i="20"/>
  <c r="E58" i="20" s="1"/>
  <c r="D57" i="20"/>
  <c r="E57" i="20" s="1"/>
  <c r="D56" i="20"/>
  <c r="E56" i="20" s="1"/>
  <c r="D55" i="20"/>
  <c r="E55" i="20" s="1"/>
  <c r="D43" i="20"/>
  <c r="E43" i="20" s="1"/>
  <c r="D42" i="20"/>
  <c r="E42" i="20" s="1"/>
  <c r="D39" i="20"/>
  <c r="E39" i="20" s="1"/>
  <c r="D35" i="20"/>
  <c r="E35" i="20" s="1"/>
  <c r="D31" i="20"/>
  <c r="E31" i="20" s="1"/>
  <c r="D28" i="20"/>
  <c r="E28" i="20" s="1"/>
  <c r="D27" i="20"/>
  <c r="E27" i="20" s="1"/>
  <c r="D26" i="20"/>
  <c r="E26" i="20" s="1"/>
  <c r="D20" i="20"/>
  <c r="E20" i="20" s="1"/>
  <c r="D19" i="20"/>
  <c r="E19" i="20" s="1"/>
  <c r="D18" i="20"/>
  <c r="E18" i="20" s="1"/>
  <c r="B2" i="20"/>
  <c r="B9" i="20" s="1"/>
  <c r="C31" i="20"/>
  <c r="D95" i="19"/>
  <c r="E95" i="19" s="1"/>
  <c r="D94" i="19"/>
  <c r="E94" i="19" s="1"/>
  <c r="D91" i="19"/>
  <c r="E91" i="19" s="1"/>
  <c r="D90" i="19"/>
  <c r="E90" i="19" s="1"/>
  <c r="D88" i="19"/>
  <c r="E88" i="19" s="1"/>
  <c r="D87" i="19"/>
  <c r="D86" i="19"/>
  <c r="E86" i="19" s="1"/>
  <c r="D85" i="19"/>
  <c r="E85" i="19" s="1"/>
  <c r="D84" i="19"/>
  <c r="D83" i="19"/>
  <c r="E83" i="19" s="1"/>
  <c r="D81" i="19"/>
  <c r="E81" i="19" s="1"/>
  <c r="D80" i="19"/>
  <c r="E80" i="19" s="1"/>
  <c r="D79" i="19"/>
  <c r="E79" i="19" s="1"/>
  <c r="D78" i="19"/>
  <c r="E78" i="19" s="1"/>
  <c r="D77" i="19"/>
  <c r="E77" i="19" s="1"/>
  <c r="D76" i="19"/>
  <c r="E76" i="19" s="1"/>
  <c r="D70" i="19"/>
  <c r="E70" i="19" s="1"/>
  <c r="D69" i="19"/>
  <c r="E69" i="19" s="1"/>
  <c r="D43" i="19"/>
  <c r="E43" i="19" s="1"/>
  <c r="D42" i="19"/>
  <c r="E42" i="19" s="1"/>
  <c r="D39" i="19"/>
  <c r="E39" i="19" s="1"/>
  <c r="D35" i="19"/>
  <c r="E35" i="19" s="1"/>
  <c r="D31" i="19"/>
  <c r="E31" i="19" s="1"/>
  <c r="D28" i="19"/>
  <c r="E28" i="19" s="1"/>
  <c r="D27" i="19"/>
  <c r="E27" i="19" s="1"/>
  <c r="D26" i="19"/>
  <c r="E26" i="19" s="1"/>
  <c r="D20" i="19"/>
  <c r="E20" i="19" s="1"/>
  <c r="D19" i="19"/>
  <c r="E19" i="19" s="1"/>
  <c r="D18" i="19"/>
  <c r="E18" i="19" s="1"/>
  <c r="B2" i="19"/>
  <c r="B9" i="19" s="1"/>
  <c r="E87" i="19"/>
  <c r="E84" i="19"/>
  <c r="C31" i="19"/>
  <c r="D95" i="18"/>
  <c r="E95" i="18" s="1"/>
  <c r="D94" i="18"/>
  <c r="E94" i="18" s="1"/>
  <c r="D91" i="18"/>
  <c r="E91" i="18" s="1"/>
  <c r="D90" i="18"/>
  <c r="E90" i="18" s="1"/>
  <c r="D88" i="18"/>
  <c r="E88" i="18" s="1"/>
  <c r="D87" i="18"/>
  <c r="E87" i="18" s="1"/>
  <c r="D86" i="18"/>
  <c r="D85" i="18"/>
  <c r="E85" i="18" s="1"/>
  <c r="D84" i="18"/>
  <c r="E84" i="18" s="1"/>
  <c r="D83" i="18"/>
  <c r="E83" i="18" s="1"/>
  <c r="D81" i="18"/>
  <c r="E81" i="18" s="1"/>
  <c r="D80" i="18"/>
  <c r="E80" i="18" s="1"/>
  <c r="D79" i="18"/>
  <c r="E79" i="18" s="1"/>
  <c r="D78" i="18"/>
  <c r="E78" i="18" s="1"/>
  <c r="D77" i="18"/>
  <c r="E77" i="18" s="1"/>
  <c r="D76" i="18"/>
  <c r="E76" i="18" s="1"/>
  <c r="D72" i="18"/>
  <c r="E72" i="18" s="1"/>
  <c r="D43" i="18"/>
  <c r="E43" i="18" s="1"/>
  <c r="D39" i="18"/>
  <c r="E39" i="18" s="1"/>
  <c r="D35" i="18"/>
  <c r="E35" i="18" s="1"/>
  <c r="D31" i="18"/>
  <c r="E31" i="18" s="1"/>
  <c r="D28" i="18"/>
  <c r="E28" i="18" s="1"/>
  <c r="D27" i="18"/>
  <c r="E27" i="18" s="1"/>
  <c r="D26" i="18"/>
  <c r="E26" i="18" s="1"/>
  <c r="D20" i="18"/>
  <c r="E20" i="18" s="1"/>
  <c r="D19" i="18"/>
  <c r="E19" i="18" s="1"/>
  <c r="D18" i="18"/>
  <c r="E18" i="18" s="1"/>
  <c r="E86" i="18"/>
  <c r="C31" i="18"/>
  <c r="D86" i="3"/>
  <c r="E86" i="3" s="1"/>
  <c r="D79" i="3"/>
  <c r="E79" i="3" s="1"/>
  <c r="D65" i="3"/>
  <c r="E65" i="3" s="1"/>
  <c r="D58" i="3"/>
  <c r="E58" i="3" s="1"/>
  <c r="F3" i="13"/>
  <c r="C3" i="13"/>
  <c r="G27" i="1"/>
  <c r="G34" i="1"/>
  <c r="D9" i="8"/>
  <c r="D16" i="8" s="1"/>
  <c r="B3" i="18" s="1"/>
  <c r="E9" i="8"/>
  <c r="E16" i="8" s="1"/>
  <c r="B3" i="19" s="1"/>
  <c r="B6" i="19" s="1"/>
  <c r="F9" i="8"/>
  <c r="F16" i="8" s="1"/>
  <c r="B3" i="20" s="1"/>
  <c r="B6" i="20" s="1"/>
  <c r="G9" i="8"/>
  <c r="G16" i="8" s="1"/>
  <c r="B3" i="21" s="1"/>
  <c r="H9" i="8"/>
  <c r="H16" i="8" s="1"/>
  <c r="B3" i="22" s="1"/>
  <c r="I9" i="8"/>
  <c r="I16" i="8" s="1"/>
  <c r="B3" i="23" s="1"/>
  <c r="J9" i="8"/>
  <c r="J16" i="8" s="1"/>
  <c r="B3" i="24" s="1"/>
  <c r="B6" i="24" s="1"/>
  <c r="K9" i="8"/>
  <c r="K16" i="8" s="1"/>
  <c r="B3" i="25" s="1"/>
  <c r="L9" i="8"/>
  <c r="L16" i="8" s="1"/>
  <c r="B3" i="26" s="1"/>
  <c r="C9" i="8"/>
  <c r="C16" i="8" s="1"/>
  <c r="N4" i="28"/>
  <c r="L4" i="28"/>
  <c r="K4" i="28"/>
  <c r="J4" i="28"/>
  <c r="I4" i="28"/>
  <c r="H4" i="28"/>
  <c r="G4" i="28"/>
  <c r="F4" i="28"/>
  <c r="E4" i="28"/>
  <c r="N3" i="28"/>
  <c r="M3" i="28"/>
  <c r="L3" i="28"/>
  <c r="K3" i="28"/>
  <c r="J3" i="28"/>
  <c r="I3" i="28"/>
  <c r="H3" i="28"/>
  <c r="G3" i="28"/>
  <c r="F3" i="28"/>
  <c r="E3" i="28"/>
  <c r="D60" i="3"/>
  <c r="D67" i="3"/>
  <c r="E67" i="3" s="1"/>
  <c r="D81" i="3"/>
  <c r="E81" i="3" s="1"/>
  <c r="D88" i="3"/>
  <c r="E88" i="3" s="1"/>
  <c r="G19" i="1"/>
  <c r="B6" i="18" l="1"/>
  <c r="B7" i="18" s="1"/>
  <c r="B4" i="18"/>
  <c r="C43" i="26"/>
  <c r="D43" i="26" s="1"/>
  <c r="E43" i="26" s="1"/>
  <c r="C43" i="25"/>
  <c r="D43" i="25" s="1"/>
  <c r="E43" i="25" s="1"/>
  <c r="C43" i="24"/>
  <c r="C43" i="23"/>
  <c r="C43" i="22"/>
  <c r="C43" i="21"/>
  <c r="C43" i="20"/>
  <c r="C43" i="19"/>
  <c r="C43" i="18"/>
  <c r="B6" i="26"/>
  <c r="B7" i="26" s="1"/>
  <c r="B4" i="26"/>
  <c r="B6" i="25"/>
  <c r="B7" i="25" s="1"/>
  <c r="B4" i="25"/>
  <c r="B6" i="23"/>
  <c r="B7" i="23" s="1"/>
  <c r="B4" i="23"/>
  <c r="B6" i="22"/>
  <c r="B7" i="22" s="1"/>
  <c r="B4" i="22"/>
  <c r="B6" i="21"/>
  <c r="B7" i="21" s="1"/>
  <c r="B4" i="21"/>
  <c r="C49" i="26"/>
  <c r="D49" i="26" s="1"/>
  <c r="E49" i="26" s="1"/>
  <c r="C47" i="26"/>
  <c r="D47" i="26" s="1"/>
  <c r="E47" i="26" s="1"/>
  <c r="C49" i="25"/>
  <c r="D49" i="25" s="1"/>
  <c r="E49" i="25" s="1"/>
  <c r="C47" i="25"/>
  <c r="D47" i="25" s="1"/>
  <c r="E47" i="25" s="1"/>
  <c r="C49" i="24"/>
  <c r="D49" i="24" s="1"/>
  <c r="E49" i="24" s="1"/>
  <c r="C47" i="24"/>
  <c r="D47" i="24" s="1"/>
  <c r="E47" i="24" s="1"/>
  <c r="C49" i="23"/>
  <c r="D49" i="23" s="1"/>
  <c r="E49" i="23" s="1"/>
  <c r="C47" i="23"/>
  <c r="D47" i="23" s="1"/>
  <c r="E47" i="23" s="1"/>
  <c r="C49" i="22"/>
  <c r="D49" i="22" s="1"/>
  <c r="E49" i="22" s="1"/>
  <c r="C47" i="22"/>
  <c r="D47" i="22" s="1"/>
  <c r="E47" i="22" s="1"/>
  <c r="C49" i="21"/>
  <c r="D49" i="21" s="1"/>
  <c r="E49" i="21" s="1"/>
  <c r="C47" i="21"/>
  <c r="D47" i="21" s="1"/>
  <c r="E47" i="21" s="1"/>
  <c r="C49" i="20"/>
  <c r="D49" i="20" s="1"/>
  <c r="E49" i="20" s="1"/>
  <c r="C47" i="20"/>
  <c r="D47" i="20" s="1"/>
  <c r="E47" i="20" s="1"/>
  <c r="C49" i="19"/>
  <c r="D49" i="19" s="1"/>
  <c r="E49" i="19" s="1"/>
  <c r="C47" i="19"/>
  <c r="D47" i="19" s="1"/>
  <c r="E47" i="19" s="1"/>
  <c r="C49" i="18"/>
  <c r="D49" i="18" s="1"/>
  <c r="E49" i="18" s="1"/>
  <c r="C47" i="18"/>
  <c r="D47" i="18" s="1"/>
  <c r="E47" i="18" s="1"/>
  <c r="C49" i="3"/>
  <c r="D49" i="3" s="1"/>
  <c r="E49" i="3" s="1"/>
  <c r="C47" i="3"/>
  <c r="D47" i="3" s="1"/>
  <c r="E47" i="3" s="1"/>
  <c r="C87" i="26"/>
  <c r="C80" i="26"/>
  <c r="C66" i="26"/>
  <c r="C59" i="26"/>
  <c r="C87" i="25"/>
  <c r="C80" i="25"/>
  <c r="C66" i="25"/>
  <c r="C59" i="25"/>
  <c r="C87" i="24"/>
  <c r="D87" i="24" s="1"/>
  <c r="E87" i="24" s="1"/>
  <c r="C80" i="24"/>
  <c r="D80" i="24" s="1"/>
  <c r="E80" i="24" s="1"/>
  <c r="C66" i="24"/>
  <c r="C59" i="24"/>
  <c r="C87" i="23"/>
  <c r="C80" i="23"/>
  <c r="C66" i="23"/>
  <c r="D66" i="23" s="1"/>
  <c r="E66" i="23" s="1"/>
  <c r="C59" i="23"/>
  <c r="D59" i="23" s="1"/>
  <c r="E59" i="23" s="1"/>
  <c r="C87" i="22"/>
  <c r="C80" i="22"/>
  <c r="C66" i="22"/>
  <c r="D66" i="22" s="1"/>
  <c r="E66" i="22" s="1"/>
  <c r="C59" i="22"/>
  <c r="D59" i="22" s="1"/>
  <c r="E59" i="22" s="1"/>
  <c r="C87" i="21"/>
  <c r="C80" i="21"/>
  <c r="C66" i="21"/>
  <c r="C59" i="21"/>
  <c r="C87" i="20"/>
  <c r="D87" i="20" s="1"/>
  <c r="E87" i="20" s="1"/>
  <c r="C80" i="20"/>
  <c r="D80" i="20" s="1"/>
  <c r="E80" i="20" s="1"/>
  <c r="C66" i="20"/>
  <c r="C59" i="20"/>
  <c r="C87" i="19"/>
  <c r="C80" i="19"/>
  <c r="C66" i="19"/>
  <c r="D66" i="19" s="1"/>
  <c r="E66" i="19" s="1"/>
  <c r="C59" i="19"/>
  <c r="D59" i="19" s="1"/>
  <c r="E59" i="19" s="1"/>
  <c r="C87" i="18"/>
  <c r="C80" i="18"/>
  <c r="C66" i="18"/>
  <c r="D66" i="18" s="1"/>
  <c r="E66" i="18" s="1"/>
  <c r="C59" i="18"/>
  <c r="D59" i="18" s="1"/>
  <c r="E59" i="18" s="1"/>
  <c r="C87" i="3"/>
  <c r="C80" i="3"/>
  <c r="C66" i="3"/>
  <c r="C59" i="3"/>
  <c r="B10" i="26"/>
  <c r="B11" i="26" s="1"/>
  <c r="E107" i="26"/>
  <c r="E110" i="26"/>
  <c r="B10" i="25"/>
  <c r="B11" i="25" s="1"/>
  <c r="E110" i="25"/>
  <c r="E107" i="25"/>
  <c r="B7" i="24"/>
  <c r="B10" i="24"/>
  <c r="B4" i="24"/>
  <c r="E107" i="24"/>
  <c r="E108" i="24" s="1"/>
  <c r="B10" i="23"/>
  <c r="B11" i="23" s="1"/>
  <c r="E110" i="23"/>
  <c r="E111" i="23" s="1"/>
  <c r="B10" i="22"/>
  <c r="B11" i="22" s="1"/>
  <c r="E110" i="22"/>
  <c r="B10" i="21"/>
  <c r="B11" i="21" s="1"/>
  <c r="E110" i="21"/>
  <c r="E107" i="21"/>
  <c r="E108" i="21" s="1"/>
  <c r="B7" i="20"/>
  <c r="B10" i="20"/>
  <c r="B11" i="20" s="1"/>
  <c r="B4" i="20"/>
  <c r="E107" i="20"/>
  <c r="E108" i="20" s="1"/>
  <c r="B7" i="19"/>
  <c r="B10" i="19"/>
  <c r="B11" i="19" s="1"/>
  <c r="B4" i="19"/>
  <c r="E110" i="19"/>
  <c r="E111" i="19" s="1"/>
  <c r="E110" i="18"/>
  <c r="E111" i="22" l="1"/>
  <c r="E111" i="26"/>
  <c r="E108" i="26"/>
  <c r="E108" i="25"/>
  <c r="E111" i="25"/>
  <c r="B11" i="24"/>
  <c r="E111" i="21"/>
  <c r="E111" i="18"/>
  <c r="D39" i="3"/>
  <c r="D35" i="3" l="1"/>
  <c r="D31" i="3"/>
  <c r="E31" i="3" s="1"/>
  <c r="C31" i="3"/>
  <c r="D3" i="13"/>
  <c r="E3" i="13"/>
  <c r="G3" i="13"/>
  <c r="H3" i="13"/>
  <c r="I3" i="13"/>
  <c r="J3" i="13"/>
  <c r="K3" i="13"/>
  <c r="L3" i="13"/>
  <c r="D4" i="13"/>
  <c r="E4" i="13"/>
  <c r="F4" i="13"/>
  <c r="G4" i="13"/>
  <c r="H4" i="13"/>
  <c r="I4" i="13"/>
  <c r="J4" i="13"/>
  <c r="L4" i="13"/>
  <c r="C4" i="13"/>
  <c r="K50" i="13"/>
  <c r="K49" i="13"/>
  <c r="K48" i="13"/>
  <c r="K47" i="13"/>
  <c r="K46" i="13"/>
  <c r="K43" i="13"/>
  <c r="K42" i="13"/>
  <c r="K41" i="13"/>
  <c r="K38" i="13"/>
  <c r="K34" i="13"/>
  <c r="K19" i="13"/>
  <c r="K31" i="13"/>
  <c r="K29" i="13"/>
  <c r="K28" i="13"/>
  <c r="K26" i="13"/>
  <c r="K25" i="13"/>
  <c r="K23" i="13"/>
  <c r="K22" i="13"/>
  <c r="K21" i="13"/>
  <c r="L50" i="13"/>
  <c r="L49" i="13"/>
  <c r="L48" i="13"/>
  <c r="L47" i="13"/>
  <c r="L46" i="13"/>
  <c r="L43" i="13"/>
  <c r="L42" i="13"/>
  <c r="L41" i="13"/>
  <c r="L38" i="13"/>
  <c r="L34" i="13"/>
  <c r="L19" i="13"/>
  <c r="L31" i="13"/>
  <c r="L29" i="13"/>
  <c r="L28" i="13"/>
  <c r="L26" i="13"/>
  <c r="L25" i="13"/>
  <c r="L23" i="13"/>
  <c r="L22" i="13"/>
  <c r="L21" i="13"/>
  <c r="J50" i="13"/>
  <c r="J49" i="13"/>
  <c r="J48" i="13"/>
  <c r="J47" i="13"/>
  <c r="J46" i="13"/>
  <c r="J43" i="13"/>
  <c r="J42" i="13"/>
  <c r="J41" i="13"/>
  <c r="J38" i="13"/>
  <c r="J34" i="13"/>
  <c r="J19" i="13"/>
  <c r="J31" i="13"/>
  <c r="J29" i="13"/>
  <c r="J28" i="13"/>
  <c r="J26" i="13"/>
  <c r="J25" i="13"/>
  <c r="J23" i="13"/>
  <c r="J22" i="13"/>
  <c r="J21" i="13"/>
  <c r="I50" i="13"/>
  <c r="I49" i="13"/>
  <c r="I48" i="13"/>
  <c r="I47" i="13"/>
  <c r="I46" i="13"/>
  <c r="I43" i="13"/>
  <c r="I42" i="13"/>
  <c r="I41" i="13"/>
  <c r="I38" i="13"/>
  <c r="I34" i="13"/>
  <c r="I19" i="13"/>
  <c r="I31" i="13"/>
  <c r="I29" i="13"/>
  <c r="I28" i="13"/>
  <c r="I26" i="13"/>
  <c r="I25" i="13"/>
  <c r="I23" i="13"/>
  <c r="I22" i="13"/>
  <c r="I21" i="13"/>
  <c r="H50" i="13"/>
  <c r="H49" i="13"/>
  <c r="H48" i="13"/>
  <c r="H47" i="13"/>
  <c r="H46" i="13"/>
  <c r="H43" i="13"/>
  <c r="H42" i="13"/>
  <c r="H41" i="13"/>
  <c r="H38" i="13"/>
  <c r="H34" i="13"/>
  <c r="H19" i="13"/>
  <c r="H31" i="13"/>
  <c r="H29" i="13"/>
  <c r="H28" i="13"/>
  <c r="H26" i="13"/>
  <c r="H25" i="13"/>
  <c r="H23" i="13"/>
  <c r="H22" i="13"/>
  <c r="H21" i="13"/>
  <c r="G50" i="13"/>
  <c r="G49" i="13"/>
  <c r="G48" i="13"/>
  <c r="G47" i="13"/>
  <c r="G46" i="13"/>
  <c r="G43" i="13"/>
  <c r="G42" i="13"/>
  <c r="G41" i="13"/>
  <c r="G38" i="13"/>
  <c r="G34" i="13"/>
  <c r="G19" i="13"/>
  <c r="G31" i="13"/>
  <c r="G29" i="13"/>
  <c r="G28" i="13"/>
  <c r="G26" i="13"/>
  <c r="G25" i="13"/>
  <c r="G23" i="13"/>
  <c r="G22" i="13"/>
  <c r="G21" i="13"/>
  <c r="F50" i="13"/>
  <c r="F49" i="13"/>
  <c r="F48" i="13"/>
  <c r="F47" i="13"/>
  <c r="F46" i="13"/>
  <c r="F43" i="13"/>
  <c r="F42" i="13"/>
  <c r="F41" i="13"/>
  <c r="F38" i="13"/>
  <c r="F34" i="13"/>
  <c r="F19" i="13"/>
  <c r="F31" i="13"/>
  <c r="F29" i="13"/>
  <c r="F28" i="13"/>
  <c r="F26" i="13"/>
  <c r="F25" i="13"/>
  <c r="F23" i="13"/>
  <c r="F22" i="13"/>
  <c r="F21" i="13"/>
  <c r="E50" i="13"/>
  <c r="E49" i="13"/>
  <c r="E48" i="13"/>
  <c r="E47" i="13"/>
  <c r="E46" i="13"/>
  <c r="E43" i="13"/>
  <c r="E42" i="13"/>
  <c r="E41" i="13"/>
  <c r="E38" i="13"/>
  <c r="E34" i="13"/>
  <c r="E19" i="13"/>
  <c r="E31" i="13"/>
  <c r="E29" i="13"/>
  <c r="E28" i="13"/>
  <c r="E26" i="13"/>
  <c r="E25" i="13"/>
  <c r="E23" i="13"/>
  <c r="E22" i="13"/>
  <c r="E21" i="13"/>
  <c r="D50" i="13"/>
  <c r="D49" i="13"/>
  <c r="D48" i="13"/>
  <c r="D47" i="13"/>
  <c r="D46" i="13"/>
  <c r="D43" i="13"/>
  <c r="D42" i="13"/>
  <c r="D41" i="13"/>
  <c r="D38" i="13"/>
  <c r="D34" i="13"/>
  <c r="D19" i="13"/>
  <c r="D31" i="13"/>
  <c r="D29" i="13"/>
  <c r="D28" i="13"/>
  <c r="D26" i="13"/>
  <c r="D25" i="13"/>
  <c r="D23" i="13"/>
  <c r="D22" i="13"/>
  <c r="D21" i="13"/>
  <c r="C50" i="13"/>
  <c r="C49" i="13"/>
  <c r="C48" i="13"/>
  <c r="C47" i="13"/>
  <c r="C46" i="13"/>
  <c r="C43" i="13"/>
  <c r="C42" i="13"/>
  <c r="C41" i="13"/>
  <c r="C38" i="13"/>
  <c r="C34" i="13"/>
  <c r="C19" i="13"/>
  <c r="C31" i="13"/>
  <c r="C29" i="13"/>
  <c r="C28" i="13"/>
  <c r="C26" i="13"/>
  <c r="C25" i="13"/>
  <c r="C23" i="13"/>
  <c r="C22" i="13"/>
  <c r="C21" i="13"/>
  <c r="H27" i="13"/>
  <c r="I27" i="13"/>
  <c r="E27" i="13"/>
  <c r="F27" i="13"/>
  <c r="G27" i="13"/>
  <c r="K27" i="13"/>
  <c r="L27" i="13"/>
  <c r="C27" i="13"/>
  <c r="P6" i="2"/>
  <c r="D4" i="17"/>
  <c r="D17" i="17"/>
  <c r="E17" i="17" s="1"/>
  <c r="E6" i="17"/>
  <c r="E7" i="17" s="1"/>
  <c r="E4" i="17" s="1"/>
  <c r="D6" i="17"/>
  <c r="J27" i="13" l="1"/>
  <c r="D27" i="13"/>
  <c r="C7" i="17"/>
  <c r="C4" i="17" s="1"/>
  <c r="D18" i="16"/>
  <c r="F18" i="16"/>
  <c r="H18" i="16"/>
  <c r="J18" i="16"/>
  <c r="L18" i="16"/>
  <c r="D19" i="16"/>
  <c r="F19" i="16"/>
  <c r="H19" i="16"/>
  <c r="J19" i="16"/>
  <c r="L19" i="16"/>
  <c r="D20" i="16"/>
  <c r="F20" i="16"/>
  <c r="H20" i="16"/>
  <c r="J20" i="16"/>
  <c r="L20" i="16"/>
  <c r="D21" i="16"/>
  <c r="F21" i="16"/>
  <c r="H21" i="16"/>
  <c r="J21" i="16"/>
  <c r="L21" i="16"/>
  <c r="D22" i="16"/>
  <c r="F22" i="16"/>
  <c r="H22" i="16"/>
  <c r="J22" i="16"/>
  <c r="L22" i="16"/>
  <c r="D23" i="16"/>
  <c r="F23" i="16"/>
  <c r="H23" i="16"/>
  <c r="J23" i="16"/>
  <c r="L23" i="16"/>
  <c r="D24" i="16"/>
  <c r="F24" i="16"/>
  <c r="H24" i="16"/>
  <c r="J24" i="16"/>
  <c r="L24" i="16"/>
  <c r="D25" i="16"/>
  <c r="F25" i="16"/>
  <c r="H25" i="16"/>
  <c r="J25" i="16"/>
  <c r="L25" i="16"/>
  <c r="D26" i="16"/>
  <c r="F26" i="16"/>
  <c r="H26" i="16"/>
  <c r="J26" i="16"/>
  <c r="L26" i="16"/>
  <c r="D27" i="16"/>
  <c r="F27" i="16"/>
  <c r="H27" i="16"/>
  <c r="J27" i="16"/>
  <c r="L27" i="16"/>
  <c r="A19" i="16"/>
  <c r="A20" i="16"/>
  <c r="A21" i="16"/>
  <c r="A22" i="16"/>
  <c r="A23" i="16"/>
  <c r="A24" i="16"/>
  <c r="A25" i="16"/>
  <c r="A26" i="16"/>
  <c r="A27" i="16"/>
  <c r="A18" i="16"/>
  <c r="B27" i="16"/>
  <c r="B30" i="16" s="1"/>
  <c r="B19" i="16"/>
  <c r="B20" i="16"/>
  <c r="B21" i="16"/>
  <c r="B22" i="16"/>
  <c r="B23" i="16"/>
  <c r="B24" i="16"/>
  <c r="B25" i="16"/>
  <c r="B26" i="16"/>
  <c r="B18" i="16"/>
  <c r="F21" i="1"/>
  <c r="F36" i="1"/>
  <c r="D14" i="14"/>
  <c r="C14" i="14"/>
  <c r="B14" i="14"/>
  <c r="I12" i="13" l="1"/>
  <c r="K12" i="13"/>
  <c r="L11" i="13"/>
  <c r="H12" i="13"/>
  <c r="E12" i="13"/>
  <c r="D12" i="13"/>
  <c r="G4" i="17"/>
  <c r="D18" i="17" s="1"/>
  <c r="E18" i="17" s="1"/>
  <c r="B2" i="3"/>
  <c r="G11" i="13" l="1"/>
  <c r="B9" i="3"/>
  <c r="B10" i="3" l="1"/>
  <c r="B11" i="3" s="1"/>
  <c r="C43" i="3"/>
  <c r="D43" i="3" s="1"/>
  <c r="E43" i="3" s="1"/>
  <c r="B3" i="3"/>
  <c r="H1000" i="5"/>
  <c r="H999" i="5"/>
  <c r="H998" i="5"/>
  <c r="H997" i="5"/>
  <c r="H996" i="5"/>
  <c r="H995" i="5"/>
  <c r="H994" i="5"/>
  <c r="H993" i="5"/>
  <c r="H992" i="5"/>
  <c r="H991" i="5"/>
  <c r="H990" i="5"/>
  <c r="H989" i="5"/>
  <c r="H988" i="5"/>
  <c r="H987" i="5"/>
  <c r="H986" i="5"/>
  <c r="H985" i="5"/>
  <c r="H984" i="5"/>
  <c r="H983" i="5"/>
  <c r="H982" i="5"/>
  <c r="H981" i="5"/>
  <c r="H980" i="5"/>
  <c r="H979" i="5"/>
  <c r="H978" i="5"/>
  <c r="H977" i="5"/>
  <c r="H976" i="5"/>
  <c r="H975" i="5"/>
  <c r="H974" i="5"/>
  <c r="H973" i="5"/>
  <c r="H972" i="5"/>
  <c r="H971" i="5"/>
  <c r="H970" i="5"/>
  <c r="H969" i="5"/>
  <c r="H968" i="5"/>
  <c r="H967" i="5"/>
  <c r="H966" i="5"/>
  <c r="H965" i="5"/>
  <c r="H964" i="5"/>
  <c r="H963" i="5"/>
  <c r="H962" i="5"/>
  <c r="H961" i="5"/>
  <c r="H960" i="5"/>
  <c r="H959" i="5"/>
  <c r="H958" i="5"/>
  <c r="H957" i="5"/>
  <c r="H956" i="5"/>
  <c r="H955" i="5"/>
  <c r="H954" i="5"/>
  <c r="H953" i="5"/>
  <c r="H952" i="5"/>
  <c r="H951" i="5"/>
  <c r="H950" i="5"/>
  <c r="H949" i="5"/>
  <c r="H948" i="5"/>
  <c r="H947" i="5"/>
  <c r="H946" i="5"/>
  <c r="H945" i="5"/>
  <c r="H944" i="5"/>
  <c r="H943" i="5"/>
  <c r="H942" i="5"/>
  <c r="H941" i="5"/>
  <c r="H940" i="5"/>
  <c r="H939" i="5"/>
  <c r="H938" i="5"/>
  <c r="H937" i="5"/>
  <c r="H936" i="5"/>
  <c r="H935" i="5"/>
  <c r="H934" i="5"/>
  <c r="H933" i="5"/>
  <c r="H932" i="5"/>
  <c r="H931" i="5"/>
  <c r="H930" i="5"/>
  <c r="H929" i="5"/>
  <c r="H928" i="5"/>
  <c r="H927" i="5"/>
  <c r="H926" i="5"/>
  <c r="H925" i="5"/>
  <c r="H924" i="5"/>
  <c r="H923" i="5"/>
  <c r="H922" i="5"/>
  <c r="H921" i="5"/>
  <c r="H920" i="5"/>
  <c r="H919" i="5"/>
  <c r="H918" i="5"/>
  <c r="H917" i="5"/>
  <c r="H916" i="5"/>
  <c r="H915" i="5"/>
  <c r="H914" i="5"/>
  <c r="H913" i="5"/>
  <c r="H912" i="5"/>
  <c r="H911" i="5"/>
  <c r="H910" i="5"/>
  <c r="H909" i="5"/>
  <c r="H908" i="5"/>
  <c r="H907" i="5"/>
  <c r="H906" i="5"/>
  <c r="H905" i="5"/>
  <c r="H904" i="5"/>
  <c r="H903" i="5"/>
  <c r="H902" i="5"/>
  <c r="H901" i="5"/>
  <c r="H900" i="5"/>
  <c r="H899" i="5"/>
  <c r="H898" i="5"/>
  <c r="H897" i="5"/>
  <c r="H896" i="5"/>
  <c r="H895" i="5"/>
  <c r="H894" i="5"/>
  <c r="H893" i="5"/>
  <c r="H892" i="5"/>
  <c r="H891" i="5"/>
  <c r="H890" i="5"/>
  <c r="H889" i="5"/>
  <c r="H888" i="5"/>
  <c r="H887" i="5"/>
  <c r="H886" i="5"/>
  <c r="H885" i="5"/>
  <c r="H884" i="5"/>
  <c r="H883" i="5"/>
  <c r="H882" i="5"/>
  <c r="H881" i="5"/>
  <c r="H880" i="5"/>
  <c r="H879" i="5"/>
  <c r="H878" i="5"/>
  <c r="H877" i="5"/>
  <c r="H876" i="5"/>
  <c r="H875" i="5"/>
  <c r="H874" i="5"/>
  <c r="H873" i="5"/>
  <c r="H872" i="5"/>
  <c r="H871" i="5"/>
  <c r="H870" i="5"/>
  <c r="H869" i="5"/>
  <c r="H868" i="5"/>
  <c r="H867" i="5"/>
  <c r="H866" i="5"/>
  <c r="H865" i="5"/>
  <c r="H864" i="5"/>
  <c r="H863" i="5"/>
  <c r="H862" i="5"/>
  <c r="H861" i="5"/>
  <c r="H860" i="5"/>
  <c r="H859" i="5"/>
  <c r="H858" i="5"/>
  <c r="H857" i="5"/>
  <c r="H856" i="5"/>
  <c r="H855" i="5"/>
  <c r="H854" i="5"/>
  <c r="H853" i="5"/>
  <c r="H852" i="5"/>
  <c r="H851" i="5"/>
  <c r="H850" i="5"/>
  <c r="H849" i="5"/>
  <c r="H848" i="5"/>
  <c r="H847" i="5"/>
  <c r="H846" i="5"/>
  <c r="H845" i="5"/>
  <c r="H844" i="5"/>
  <c r="H843" i="5"/>
  <c r="H842" i="5"/>
  <c r="H841" i="5"/>
  <c r="H840" i="5"/>
  <c r="H839" i="5"/>
  <c r="H838" i="5"/>
  <c r="H837" i="5"/>
  <c r="H836" i="5"/>
  <c r="H835" i="5"/>
  <c r="H834" i="5"/>
  <c r="H833" i="5"/>
  <c r="H832" i="5"/>
  <c r="H831" i="5"/>
  <c r="H830" i="5"/>
  <c r="H829" i="5"/>
  <c r="H828" i="5"/>
  <c r="H827" i="5"/>
  <c r="H826" i="5"/>
  <c r="H825" i="5"/>
  <c r="H824" i="5"/>
  <c r="H823" i="5"/>
  <c r="H822" i="5"/>
  <c r="H821" i="5"/>
  <c r="H820" i="5"/>
  <c r="H819" i="5"/>
  <c r="H818" i="5"/>
  <c r="H817" i="5"/>
  <c r="H816" i="5"/>
  <c r="H815" i="5"/>
  <c r="H814" i="5"/>
  <c r="H813" i="5"/>
  <c r="H812" i="5"/>
  <c r="H811" i="5"/>
  <c r="H810" i="5"/>
  <c r="H809" i="5"/>
  <c r="H808" i="5"/>
  <c r="H807" i="5"/>
  <c r="H806" i="5"/>
  <c r="H805" i="5"/>
  <c r="H804" i="5"/>
  <c r="H803" i="5"/>
  <c r="H802" i="5"/>
  <c r="H801" i="5"/>
  <c r="H800" i="5"/>
  <c r="H799" i="5"/>
  <c r="H798" i="5"/>
  <c r="H797" i="5"/>
  <c r="H796" i="5"/>
  <c r="H795" i="5"/>
  <c r="H794" i="5"/>
  <c r="H793" i="5"/>
  <c r="H792" i="5"/>
  <c r="H791" i="5"/>
  <c r="H790" i="5"/>
  <c r="H789" i="5"/>
  <c r="H788" i="5"/>
  <c r="H787" i="5"/>
  <c r="H786" i="5"/>
  <c r="H785" i="5"/>
  <c r="H784" i="5"/>
  <c r="H783" i="5"/>
  <c r="H782" i="5"/>
  <c r="H781" i="5"/>
  <c r="H780" i="5"/>
  <c r="H779" i="5"/>
  <c r="H778" i="5"/>
  <c r="H777" i="5"/>
  <c r="H776" i="5"/>
  <c r="H775" i="5"/>
  <c r="H774" i="5"/>
  <c r="H773" i="5"/>
  <c r="H772" i="5"/>
  <c r="H771" i="5"/>
  <c r="H770" i="5"/>
  <c r="H769" i="5"/>
  <c r="H768" i="5"/>
  <c r="H767" i="5"/>
  <c r="H766" i="5"/>
  <c r="H765" i="5"/>
  <c r="H764" i="5"/>
  <c r="H763" i="5"/>
  <c r="H762" i="5"/>
  <c r="H761" i="5"/>
  <c r="H760" i="5"/>
  <c r="H759" i="5"/>
  <c r="H758" i="5"/>
  <c r="H757" i="5"/>
  <c r="H756" i="5"/>
  <c r="H755" i="5"/>
  <c r="H754" i="5"/>
  <c r="H753" i="5"/>
  <c r="H752" i="5"/>
  <c r="H751" i="5"/>
  <c r="H750" i="5"/>
  <c r="H749" i="5"/>
  <c r="H748" i="5"/>
  <c r="H747" i="5"/>
  <c r="H746" i="5"/>
  <c r="H745" i="5"/>
  <c r="H744" i="5"/>
  <c r="H743" i="5"/>
  <c r="H742" i="5"/>
  <c r="H741" i="5"/>
  <c r="H740" i="5"/>
  <c r="H739" i="5"/>
  <c r="H738" i="5"/>
  <c r="H737" i="5"/>
  <c r="H736" i="5"/>
  <c r="H735" i="5"/>
  <c r="H734" i="5"/>
  <c r="H733" i="5"/>
  <c r="H732" i="5"/>
  <c r="H731" i="5"/>
  <c r="H730" i="5"/>
  <c r="H729" i="5"/>
  <c r="H728" i="5"/>
  <c r="H727" i="5"/>
  <c r="H726" i="5"/>
  <c r="H725" i="5"/>
  <c r="H724" i="5"/>
  <c r="H723" i="5"/>
  <c r="H722" i="5"/>
  <c r="H721" i="5"/>
  <c r="H720" i="5"/>
  <c r="H719" i="5"/>
  <c r="H718" i="5"/>
  <c r="H717" i="5"/>
  <c r="H716" i="5"/>
  <c r="H715" i="5"/>
  <c r="H714" i="5"/>
  <c r="H713" i="5"/>
  <c r="H712" i="5"/>
  <c r="H711" i="5"/>
  <c r="H710" i="5"/>
  <c r="H709" i="5"/>
  <c r="H708" i="5"/>
  <c r="H707" i="5"/>
  <c r="H706" i="5"/>
  <c r="H705" i="5"/>
  <c r="H704" i="5"/>
  <c r="H703" i="5"/>
  <c r="H702" i="5"/>
  <c r="H701" i="5"/>
  <c r="H700" i="5"/>
  <c r="H699" i="5"/>
  <c r="H698" i="5"/>
  <c r="H697" i="5"/>
  <c r="H696" i="5"/>
  <c r="H695" i="5"/>
  <c r="H694" i="5"/>
  <c r="H693" i="5"/>
  <c r="H692" i="5"/>
  <c r="H691" i="5"/>
  <c r="H690" i="5"/>
  <c r="H689" i="5"/>
  <c r="H688" i="5"/>
  <c r="H687" i="5"/>
  <c r="H686" i="5"/>
  <c r="H685" i="5"/>
  <c r="H684" i="5"/>
  <c r="H683" i="5"/>
  <c r="H682" i="5"/>
  <c r="H681" i="5"/>
  <c r="H680" i="5"/>
  <c r="H679" i="5"/>
  <c r="H678" i="5"/>
  <c r="H677" i="5"/>
  <c r="H676" i="5"/>
  <c r="H675" i="5"/>
  <c r="H674" i="5"/>
  <c r="H673" i="5"/>
  <c r="H672" i="5"/>
  <c r="H671" i="5"/>
  <c r="H670" i="5"/>
  <c r="H669" i="5"/>
  <c r="H668" i="5"/>
  <c r="H667" i="5"/>
  <c r="H666" i="5"/>
  <c r="H665" i="5"/>
  <c r="H664" i="5"/>
  <c r="H663" i="5"/>
  <c r="H662" i="5"/>
  <c r="H661" i="5"/>
  <c r="H660" i="5"/>
  <c r="H659" i="5"/>
  <c r="H658" i="5"/>
  <c r="H657" i="5"/>
  <c r="H656" i="5"/>
  <c r="H655" i="5"/>
  <c r="H654" i="5"/>
  <c r="H653" i="5"/>
  <c r="H652" i="5"/>
  <c r="H651" i="5"/>
  <c r="H650" i="5"/>
  <c r="H649" i="5"/>
  <c r="H648" i="5"/>
  <c r="H647" i="5"/>
  <c r="H646" i="5"/>
  <c r="H645" i="5"/>
  <c r="H644" i="5"/>
  <c r="H643" i="5"/>
  <c r="H642" i="5"/>
  <c r="H641" i="5"/>
  <c r="H640" i="5"/>
  <c r="H639" i="5"/>
  <c r="H638" i="5"/>
  <c r="H637" i="5"/>
  <c r="H636" i="5"/>
  <c r="H635" i="5"/>
  <c r="H634" i="5"/>
  <c r="H633" i="5"/>
  <c r="H632" i="5"/>
  <c r="H631" i="5"/>
  <c r="H630" i="5"/>
  <c r="H629" i="5"/>
  <c r="H628" i="5"/>
  <c r="H627" i="5"/>
  <c r="H626" i="5"/>
  <c r="H625" i="5"/>
  <c r="H624" i="5"/>
  <c r="H623" i="5"/>
  <c r="H622" i="5"/>
  <c r="H621" i="5"/>
  <c r="H620" i="5"/>
  <c r="H619" i="5"/>
  <c r="H618" i="5"/>
  <c r="H617" i="5"/>
  <c r="H616" i="5"/>
  <c r="H615" i="5"/>
  <c r="H614" i="5"/>
  <c r="H613" i="5"/>
  <c r="H612" i="5"/>
  <c r="H611" i="5"/>
  <c r="H610" i="5"/>
  <c r="H609" i="5"/>
  <c r="H608" i="5"/>
  <c r="H607" i="5"/>
  <c r="H606" i="5"/>
  <c r="H605" i="5"/>
  <c r="H604" i="5"/>
  <c r="H603" i="5"/>
  <c r="H602" i="5"/>
  <c r="H601" i="5"/>
  <c r="H600" i="5"/>
  <c r="H599" i="5"/>
  <c r="H598" i="5"/>
  <c r="H597" i="5"/>
  <c r="H596" i="5"/>
  <c r="H595" i="5"/>
  <c r="H594" i="5"/>
  <c r="H593" i="5"/>
  <c r="H592" i="5"/>
  <c r="H591" i="5"/>
  <c r="H590" i="5"/>
  <c r="H589" i="5"/>
  <c r="H588" i="5"/>
  <c r="H587" i="5"/>
  <c r="H586" i="5"/>
  <c r="H585" i="5"/>
  <c r="H584" i="5"/>
  <c r="H583" i="5"/>
  <c r="H582" i="5"/>
  <c r="H581" i="5"/>
  <c r="H580" i="5"/>
  <c r="H579" i="5"/>
  <c r="H578" i="5"/>
  <c r="H577" i="5"/>
  <c r="H576" i="5"/>
  <c r="H575" i="5"/>
  <c r="H574" i="5"/>
  <c r="H573" i="5"/>
  <c r="H572" i="5"/>
  <c r="H571" i="5"/>
  <c r="H570" i="5"/>
  <c r="H569" i="5"/>
  <c r="H568" i="5"/>
  <c r="H567" i="5"/>
  <c r="H566" i="5"/>
  <c r="H565" i="5"/>
  <c r="H564" i="5"/>
  <c r="H563" i="5"/>
  <c r="H562" i="5"/>
  <c r="H561" i="5"/>
  <c r="H560" i="5"/>
  <c r="H559" i="5"/>
  <c r="H558" i="5"/>
  <c r="H557" i="5"/>
  <c r="H556" i="5"/>
  <c r="H555" i="5"/>
  <c r="H554" i="5"/>
  <c r="H553" i="5"/>
  <c r="H552" i="5"/>
  <c r="H551" i="5"/>
  <c r="H550" i="5"/>
  <c r="H549" i="5"/>
  <c r="H548" i="5"/>
  <c r="H547" i="5"/>
  <c r="H546" i="5"/>
  <c r="H545" i="5"/>
  <c r="H544" i="5"/>
  <c r="H543" i="5"/>
  <c r="H542" i="5"/>
  <c r="H541" i="5"/>
  <c r="H540" i="5"/>
  <c r="H539" i="5"/>
  <c r="H538" i="5"/>
  <c r="H537" i="5"/>
  <c r="H536" i="5"/>
  <c r="H535" i="5"/>
  <c r="H534" i="5"/>
  <c r="H533" i="5"/>
  <c r="H532" i="5"/>
  <c r="H531" i="5"/>
  <c r="H530" i="5"/>
  <c r="H529" i="5"/>
  <c r="H528" i="5"/>
  <c r="H527" i="5"/>
  <c r="H526" i="5"/>
  <c r="H525" i="5"/>
  <c r="H524" i="5"/>
  <c r="H523" i="5"/>
  <c r="H522" i="5"/>
  <c r="H521" i="5"/>
  <c r="H520" i="5"/>
  <c r="H519" i="5"/>
  <c r="H518" i="5"/>
  <c r="H517" i="5"/>
  <c r="H516" i="5"/>
  <c r="H515" i="5"/>
  <c r="H514" i="5"/>
  <c r="H513" i="5"/>
  <c r="H512" i="5"/>
  <c r="H511" i="5"/>
  <c r="H510" i="5"/>
  <c r="H509" i="5"/>
  <c r="H508" i="5"/>
  <c r="H507" i="5"/>
  <c r="H506" i="5"/>
  <c r="H505" i="5"/>
  <c r="H504" i="5"/>
  <c r="H503" i="5"/>
  <c r="H502" i="5"/>
  <c r="H501" i="5"/>
  <c r="H500" i="5"/>
  <c r="H499" i="5"/>
  <c r="H498" i="5"/>
  <c r="H497" i="5"/>
  <c r="H496" i="5"/>
  <c r="H495" i="5"/>
  <c r="H494" i="5"/>
  <c r="H493" i="5"/>
  <c r="H492" i="5"/>
  <c r="H491" i="5"/>
  <c r="H490" i="5"/>
  <c r="H489" i="5"/>
  <c r="H488" i="5"/>
  <c r="H487" i="5"/>
  <c r="H486" i="5"/>
  <c r="H485" i="5"/>
  <c r="H484" i="5"/>
  <c r="H483" i="5"/>
  <c r="H482" i="5"/>
  <c r="H481" i="5"/>
  <c r="H480" i="5"/>
  <c r="H479" i="5"/>
  <c r="H478" i="5"/>
  <c r="H477" i="5"/>
  <c r="H476" i="5"/>
  <c r="H475" i="5"/>
  <c r="H474" i="5"/>
  <c r="H473" i="5"/>
  <c r="H472" i="5"/>
  <c r="H471" i="5"/>
  <c r="H470" i="5"/>
  <c r="H469" i="5"/>
  <c r="H468" i="5"/>
  <c r="H467" i="5"/>
  <c r="H466" i="5"/>
  <c r="H465" i="5"/>
  <c r="H464" i="5"/>
  <c r="H463" i="5"/>
  <c r="H462" i="5"/>
  <c r="H461" i="5"/>
  <c r="H460" i="5"/>
  <c r="H459" i="5"/>
  <c r="H458" i="5"/>
  <c r="H457" i="5"/>
  <c r="H456" i="5"/>
  <c r="H455" i="5"/>
  <c r="H454" i="5"/>
  <c r="H453" i="5"/>
  <c r="H452" i="5"/>
  <c r="H451" i="5"/>
  <c r="H450" i="5"/>
  <c r="H449" i="5"/>
  <c r="H448" i="5"/>
  <c r="H447" i="5"/>
  <c r="H446" i="5"/>
  <c r="H445" i="5"/>
  <c r="H444" i="5"/>
  <c r="H443" i="5"/>
  <c r="H442" i="5"/>
  <c r="H441" i="5"/>
  <c r="H440" i="5"/>
  <c r="H439" i="5"/>
  <c r="H438" i="5"/>
  <c r="H437" i="5"/>
  <c r="H436" i="5"/>
  <c r="H435" i="5"/>
  <c r="H434" i="5"/>
  <c r="H433" i="5"/>
  <c r="H432" i="5"/>
  <c r="H431" i="5"/>
  <c r="H430" i="5"/>
  <c r="H429" i="5"/>
  <c r="H428" i="5"/>
  <c r="H427" i="5"/>
  <c r="H426" i="5"/>
  <c r="H425" i="5"/>
  <c r="H424" i="5"/>
  <c r="H423" i="5"/>
  <c r="H422" i="5"/>
  <c r="H421" i="5"/>
  <c r="H420" i="5"/>
  <c r="H419" i="5"/>
  <c r="H418" i="5"/>
  <c r="H417" i="5"/>
  <c r="H416" i="5"/>
  <c r="H415" i="5"/>
  <c r="H414" i="5"/>
  <c r="H413" i="5"/>
  <c r="H412" i="5"/>
  <c r="H411" i="5"/>
  <c r="H410" i="5"/>
  <c r="H409" i="5"/>
  <c r="H408" i="5"/>
  <c r="H407" i="5"/>
  <c r="H406" i="5"/>
  <c r="H405" i="5"/>
  <c r="H404" i="5"/>
  <c r="H403" i="5"/>
  <c r="H402" i="5"/>
  <c r="H401" i="5"/>
  <c r="H400" i="5"/>
  <c r="H399" i="5"/>
  <c r="H398" i="5"/>
  <c r="H397" i="5"/>
  <c r="H396" i="5"/>
  <c r="H395" i="5"/>
  <c r="H394" i="5"/>
  <c r="H393" i="5"/>
  <c r="H392" i="5"/>
  <c r="H391" i="5"/>
  <c r="H390" i="5"/>
  <c r="H389" i="5"/>
  <c r="H388" i="5"/>
  <c r="H387" i="5"/>
  <c r="H386" i="5"/>
  <c r="H385" i="5"/>
  <c r="H384" i="5"/>
  <c r="H383" i="5"/>
  <c r="H382" i="5"/>
  <c r="H381" i="5"/>
  <c r="H380" i="5"/>
  <c r="H379" i="5"/>
  <c r="H378" i="5"/>
  <c r="H377" i="5"/>
  <c r="H376" i="5"/>
  <c r="H375" i="5"/>
  <c r="H374" i="5"/>
  <c r="H373" i="5"/>
  <c r="H372" i="5"/>
  <c r="H371" i="5"/>
  <c r="H370" i="5"/>
  <c r="H369" i="5"/>
  <c r="H368" i="5"/>
  <c r="H367" i="5"/>
  <c r="H366" i="5"/>
  <c r="H365" i="5"/>
  <c r="H364" i="5"/>
  <c r="H363" i="5"/>
  <c r="H362" i="5"/>
  <c r="H361" i="5"/>
  <c r="H360" i="5"/>
  <c r="H359" i="5"/>
  <c r="H358" i="5"/>
  <c r="H357" i="5"/>
  <c r="H356" i="5"/>
  <c r="H355" i="5"/>
  <c r="H354" i="5"/>
  <c r="H353" i="5"/>
  <c r="H352" i="5"/>
  <c r="H351" i="5"/>
  <c r="H350" i="5"/>
  <c r="H349" i="5"/>
  <c r="H348" i="5"/>
  <c r="H347" i="5"/>
  <c r="H346" i="5"/>
  <c r="H345" i="5"/>
  <c r="H344" i="5"/>
  <c r="H343" i="5"/>
  <c r="H342" i="5"/>
  <c r="H341" i="5"/>
  <c r="H340" i="5"/>
  <c r="H339" i="5"/>
  <c r="H338" i="5"/>
  <c r="H337" i="5"/>
  <c r="H336" i="5"/>
  <c r="H335" i="5"/>
  <c r="H334" i="5"/>
  <c r="H333" i="5"/>
  <c r="H332" i="5"/>
  <c r="H331" i="5"/>
  <c r="H330" i="5"/>
  <c r="H329" i="5"/>
  <c r="H328" i="5"/>
  <c r="H327" i="5"/>
  <c r="H326" i="5"/>
  <c r="H325" i="5"/>
  <c r="H324" i="5"/>
  <c r="H323" i="5"/>
  <c r="H322" i="5"/>
  <c r="H321" i="5"/>
  <c r="H320" i="5"/>
  <c r="H319" i="5"/>
  <c r="H318" i="5"/>
  <c r="H317" i="5"/>
  <c r="H316" i="5"/>
  <c r="H315" i="5"/>
  <c r="H314" i="5"/>
  <c r="H313" i="5"/>
  <c r="H312" i="5"/>
  <c r="H311" i="5"/>
  <c r="H310" i="5"/>
  <c r="H309" i="5"/>
  <c r="H308" i="5"/>
  <c r="H307" i="5"/>
  <c r="H306" i="5"/>
  <c r="H305" i="5"/>
  <c r="H304" i="5"/>
  <c r="H303" i="5"/>
  <c r="H302" i="5"/>
  <c r="H301" i="5"/>
  <c r="H300" i="5"/>
  <c r="H299" i="5"/>
  <c r="H298" i="5"/>
  <c r="H297" i="5"/>
  <c r="H296" i="5"/>
  <c r="H295" i="5"/>
  <c r="H294" i="5"/>
  <c r="H293" i="5"/>
  <c r="H292" i="5"/>
  <c r="H291" i="5"/>
  <c r="H290" i="5"/>
  <c r="H289" i="5"/>
  <c r="H288" i="5"/>
  <c r="H287" i="5"/>
  <c r="H286" i="5"/>
  <c r="H285" i="5"/>
  <c r="H284" i="5"/>
  <c r="H283" i="5"/>
  <c r="H282" i="5"/>
  <c r="H281" i="5"/>
  <c r="H280" i="5"/>
  <c r="H279" i="5"/>
  <c r="H278" i="5"/>
  <c r="H277" i="5"/>
  <c r="H276" i="5"/>
  <c r="H275" i="5"/>
  <c r="H274" i="5"/>
  <c r="H273" i="5"/>
  <c r="H272" i="5"/>
  <c r="H271" i="5"/>
  <c r="H270" i="5"/>
  <c r="H269" i="5"/>
  <c r="H268" i="5"/>
  <c r="H267" i="5"/>
  <c r="H266" i="5"/>
  <c r="H265" i="5"/>
  <c r="H264" i="5"/>
  <c r="H263" i="5"/>
  <c r="H262" i="5"/>
  <c r="H261" i="5"/>
  <c r="H260" i="5"/>
  <c r="H259" i="5"/>
  <c r="H258" i="5"/>
  <c r="H257" i="5"/>
  <c r="H256" i="5"/>
  <c r="H255" i="5"/>
  <c r="H254" i="5"/>
  <c r="H253" i="5"/>
  <c r="H252" i="5"/>
  <c r="H251" i="5"/>
  <c r="H250" i="5"/>
  <c r="H249" i="5"/>
  <c r="H248" i="5"/>
  <c r="H247" i="5"/>
  <c r="H246" i="5"/>
  <c r="H245" i="5"/>
  <c r="H244" i="5"/>
  <c r="H243" i="5"/>
  <c r="H242" i="5"/>
  <c r="H241" i="5"/>
  <c r="H240" i="5"/>
  <c r="H239" i="5"/>
  <c r="H238" i="5"/>
  <c r="H237" i="5"/>
  <c r="H236" i="5"/>
  <c r="H235" i="5"/>
  <c r="H234" i="5"/>
  <c r="H233" i="5"/>
  <c r="H232" i="5"/>
  <c r="H231" i="5"/>
  <c r="H230" i="5"/>
  <c r="H229" i="5"/>
  <c r="H228" i="5"/>
  <c r="H227" i="5"/>
  <c r="H226" i="5"/>
  <c r="H225" i="5"/>
  <c r="H224" i="5"/>
  <c r="H223" i="5"/>
  <c r="H222" i="5"/>
  <c r="H221" i="5"/>
  <c r="H220" i="5"/>
  <c r="H219" i="5"/>
  <c r="H218" i="5"/>
  <c r="H217" i="5"/>
  <c r="H216" i="5"/>
  <c r="H215" i="5"/>
  <c r="H214" i="5"/>
  <c r="H213" i="5"/>
  <c r="H212" i="5"/>
  <c r="H211" i="5"/>
  <c r="H210" i="5"/>
  <c r="H209" i="5"/>
  <c r="H208" i="5"/>
  <c r="H207" i="5"/>
  <c r="H206" i="5"/>
  <c r="H205" i="5"/>
  <c r="H204" i="5"/>
  <c r="H203" i="5"/>
  <c r="H202" i="5"/>
  <c r="H201" i="5"/>
  <c r="H200" i="5"/>
  <c r="H199" i="5"/>
  <c r="H198" i="5"/>
  <c r="H197" i="5"/>
  <c r="H196" i="5"/>
  <c r="H195" i="5"/>
  <c r="H194" i="5"/>
  <c r="H193" i="5"/>
  <c r="H192" i="5"/>
  <c r="H191" i="5"/>
  <c r="H190" i="5"/>
  <c r="H189" i="5"/>
  <c r="H188" i="5"/>
  <c r="H187" i="5"/>
  <c r="H186" i="5"/>
  <c r="H185" i="5"/>
  <c r="H184" i="5"/>
  <c r="H183" i="5"/>
  <c r="H182" i="5"/>
  <c r="H181" i="5"/>
  <c r="H180" i="5"/>
  <c r="H179" i="5"/>
  <c r="H178" i="5"/>
  <c r="H177" i="5"/>
  <c r="H176" i="5"/>
  <c r="H175" i="5"/>
  <c r="H174" i="5"/>
  <c r="H173" i="5"/>
  <c r="H172" i="5"/>
  <c r="H171" i="5"/>
  <c r="H170" i="5"/>
  <c r="H169" i="5"/>
  <c r="H168" i="5"/>
  <c r="H167" i="5"/>
  <c r="H166" i="5"/>
  <c r="H165" i="5"/>
  <c r="H164" i="5"/>
  <c r="H163" i="5"/>
  <c r="H162" i="5"/>
  <c r="H161" i="5"/>
  <c r="H160" i="5"/>
  <c r="H159" i="5"/>
  <c r="H158" i="5"/>
  <c r="H157" i="5"/>
  <c r="H156" i="5"/>
  <c r="H155" i="5"/>
  <c r="H154" i="5"/>
  <c r="H153" i="5"/>
  <c r="H152" i="5"/>
  <c r="H151" i="5"/>
  <c r="H150" i="5"/>
  <c r="H149" i="5"/>
  <c r="H148" i="5"/>
  <c r="H147" i="5"/>
  <c r="H146" i="5"/>
  <c r="H145" i="5"/>
  <c r="H144" i="5"/>
  <c r="H143" i="5"/>
  <c r="H142" i="5"/>
  <c r="H141" i="5"/>
  <c r="H140" i="5"/>
  <c r="H139" i="5"/>
  <c r="H138" i="5"/>
  <c r="H137" i="5"/>
  <c r="H136" i="5"/>
  <c r="H135" i="5"/>
  <c r="H134" i="5"/>
  <c r="H133" i="5"/>
  <c r="H132" i="5"/>
  <c r="H131" i="5"/>
  <c r="H130" i="5"/>
  <c r="H129" i="5"/>
  <c r="H128" i="5"/>
  <c r="H127" i="5"/>
  <c r="H126" i="5"/>
  <c r="H125" i="5"/>
  <c r="H124" i="5"/>
  <c r="H123" i="5"/>
  <c r="H122" i="5"/>
  <c r="H121" i="5"/>
  <c r="H120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H2" i="5"/>
  <c r="O9" i="2"/>
  <c r="O8" i="2"/>
  <c r="P7" i="2"/>
  <c r="P8" i="2" s="1"/>
  <c r="P9" i="2" s="1"/>
  <c r="P10" i="2" s="1"/>
  <c r="O7" i="2"/>
  <c r="O6" i="2"/>
  <c r="O5" i="2"/>
  <c r="O4" i="2"/>
  <c r="O3" i="2"/>
  <c r="O2" i="2"/>
  <c r="B6" i="3" l="1"/>
  <c r="G9" i="1"/>
  <c r="P11" i="2"/>
  <c r="P12" i="2" s="1"/>
  <c r="G12" i="1"/>
  <c r="G37" i="1"/>
  <c r="G42" i="1"/>
  <c r="G43" i="1"/>
  <c r="G13" i="1"/>
  <c r="G16" i="1"/>
  <c r="G38" i="1"/>
  <c r="G3" i="1"/>
  <c r="G40" i="1"/>
  <c r="G18" i="1"/>
  <c r="G6" i="1"/>
  <c r="G4" i="1"/>
  <c r="G41" i="1"/>
  <c r="G5" i="1"/>
  <c r="G8" i="1"/>
  <c r="G7" i="1"/>
  <c r="G22" i="1"/>
  <c r="G44" i="1"/>
  <c r="G26" i="1"/>
  <c r="G31" i="1"/>
  <c r="G24" i="1"/>
  <c r="G32" i="1"/>
  <c r="G29" i="1"/>
  <c r="G30" i="1"/>
  <c r="G15" i="1"/>
  <c r="G21" i="1"/>
  <c r="D16" i="14"/>
  <c r="B16" i="14"/>
  <c r="C16" i="14"/>
  <c r="B4" i="3"/>
  <c r="C76" i="26" l="1"/>
  <c r="C55" i="26"/>
  <c r="C76" i="25"/>
  <c r="C55" i="25"/>
  <c r="C76" i="24"/>
  <c r="D76" i="24" s="1"/>
  <c r="E76" i="24" s="1"/>
  <c r="C55" i="24"/>
  <c r="C76" i="23"/>
  <c r="C55" i="23"/>
  <c r="D55" i="23" s="1"/>
  <c r="E55" i="23" s="1"/>
  <c r="C76" i="22"/>
  <c r="C55" i="22"/>
  <c r="D55" i="22" s="1"/>
  <c r="E55" i="22" s="1"/>
  <c r="C76" i="21"/>
  <c r="C55" i="21"/>
  <c r="C76" i="20"/>
  <c r="D76" i="20" s="1"/>
  <c r="E76" i="20" s="1"/>
  <c r="C55" i="20"/>
  <c r="C76" i="19"/>
  <c r="C55" i="19"/>
  <c r="D55" i="19" s="1"/>
  <c r="E55" i="19" s="1"/>
  <c r="C76" i="18"/>
  <c r="C55" i="18"/>
  <c r="D55" i="18" s="1"/>
  <c r="E55" i="18" s="1"/>
  <c r="C39" i="26"/>
  <c r="C39" i="25"/>
  <c r="C39" i="24"/>
  <c r="D39" i="24" s="1"/>
  <c r="E39" i="24" s="1"/>
  <c r="C39" i="23"/>
  <c r="D39" i="23" s="1"/>
  <c r="E39" i="23" s="1"/>
  <c r="C39" i="22"/>
  <c r="D39" i="22" s="1"/>
  <c r="E39" i="22" s="1"/>
  <c r="C39" i="21"/>
  <c r="D39" i="21" s="1"/>
  <c r="E39" i="21" s="1"/>
  <c r="C39" i="20"/>
  <c r="C39" i="19"/>
  <c r="C39" i="18"/>
  <c r="C84" i="26"/>
  <c r="C63" i="26"/>
  <c r="C84" i="25"/>
  <c r="C63" i="25"/>
  <c r="C63" i="23"/>
  <c r="D63" i="23" s="1"/>
  <c r="E63" i="23" s="1"/>
  <c r="C84" i="23"/>
  <c r="C84" i="22"/>
  <c r="C63" i="22"/>
  <c r="D63" i="22" s="1"/>
  <c r="E63" i="22" s="1"/>
  <c r="C84" i="21"/>
  <c r="C84" i="20"/>
  <c r="D84" i="20" s="1"/>
  <c r="E84" i="20" s="1"/>
  <c r="C63" i="20"/>
  <c r="C84" i="19"/>
  <c r="C84" i="18"/>
  <c r="C63" i="18"/>
  <c r="D63" i="18" s="1"/>
  <c r="E63" i="18" s="1"/>
  <c r="C63" i="19"/>
  <c r="D63" i="19" s="1"/>
  <c r="E63" i="19" s="1"/>
  <c r="C63" i="21"/>
  <c r="C63" i="24"/>
  <c r="C84" i="24"/>
  <c r="D84" i="24" s="1"/>
  <c r="E84" i="24" s="1"/>
  <c r="C83" i="26"/>
  <c r="C62" i="26"/>
  <c r="C83" i="25"/>
  <c r="C62" i="25"/>
  <c r="C83" i="24"/>
  <c r="D83" i="24" s="1"/>
  <c r="E83" i="24" s="1"/>
  <c r="C62" i="24"/>
  <c r="C83" i="23"/>
  <c r="C62" i="23"/>
  <c r="D62" i="23" s="1"/>
  <c r="E62" i="23" s="1"/>
  <c r="C83" i="22"/>
  <c r="C62" i="22"/>
  <c r="D62" i="22" s="1"/>
  <c r="E62" i="22" s="1"/>
  <c r="C83" i="21"/>
  <c r="C62" i="21"/>
  <c r="C83" i="20"/>
  <c r="D83" i="20" s="1"/>
  <c r="E83" i="20" s="1"/>
  <c r="C62" i="20"/>
  <c r="C83" i="19"/>
  <c r="C62" i="19"/>
  <c r="D62" i="19" s="1"/>
  <c r="E62" i="19" s="1"/>
  <c r="C83" i="18"/>
  <c r="C62" i="18"/>
  <c r="D62" i="18" s="1"/>
  <c r="E62" i="18" s="1"/>
  <c r="C81" i="24"/>
  <c r="D81" i="24" s="1"/>
  <c r="E81" i="24" s="1"/>
  <c r="C81" i="18"/>
  <c r="C60" i="26"/>
  <c r="C67" i="26"/>
  <c r="C88" i="26"/>
  <c r="C81" i="26"/>
  <c r="C81" i="25"/>
  <c r="C88" i="25"/>
  <c r="C60" i="25"/>
  <c r="C67" i="25"/>
  <c r="C60" i="24"/>
  <c r="C67" i="24"/>
  <c r="C88" i="24"/>
  <c r="D88" i="24" s="1"/>
  <c r="E88" i="24" s="1"/>
  <c r="C81" i="23"/>
  <c r="C88" i="23"/>
  <c r="C60" i="23"/>
  <c r="D60" i="23" s="1"/>
  <c r="E60" i="23" s="1"/>
  <c r="C67" i="23"/>
  <c r="D67" i="23" s="1"/>
  <c r="E67" i="23" s="1"/>
  <c r="C81" i="22"/>
  <c r="C88" i="22"/>
  <c r="C60" i="22"/>
  <c r="D60" i="22" s="1"/>
  <c r="E60" i="22" s="1"/>
  <c r="C67" i="22"/>
  <c r="D67" i="22" s="1"/>
  <c r="E67" i="22" s="1"/>
  <c r="C81" i="21"/>
  <c r="C88" i="21"/>
  <c r="C60" i="21"/>
  <c r="C67" i="21"/>
  <c r="C60" i="20"/>
  <c r="C67" i="20"/>
  <c r="C88" i="20"/>
  <c r="D88" i="20" s="1"/>
  <c r="E88" i="20" s="1"/>
  <c r="C81" i="20"/>
  <c r="D81" i="20" s="1"/>
  <c r="E81" i="20" s="1"/>
  <c r="C60" i="19"/>
  <c r="D60" i="19" s="1"/>
  <c r="E60" i="19" s="1"/>
  <c r="C67" i="19"/>
  <c r="D67" i="19" s="1"/>
  <c r="E67" i="19" s="1"/>
  <c r="C88" i="19"/>
  <c r="C81" i="19"/>
  <c r="C60" i="18"/>
  <c r="D60" i="18" s="1"/>
  <c r="E60" i="18" s="1"/>
  <c r="C67" i="18"/>
  <c r="D67" i="18" s="1"/>
  <c r="E67" i="18" s="1"/>
  <c r="C88" i="18"/>
  <c r="C78" i="26"/>
  <c r="C57" i="26"/>
  <c r="C78" i="25"/>
  <c r="C57" i="25"/>
  <c r="C78" i="24"/>
  <c r="D78" i="24" s="1"/>
  <c r="E78" i="24" s="1"/>
  <c r="C57" i="24"/>
  <c r="C78" i="23"/>
  <c r="C57" i="23"/>
  <c r="D57" i="23" s="1"/>
  <c r="E57" i="23" s="1"/>
  <c r="C78" i="22"/>
  <c r="C57" i="22"/>
  <c r="D57" i="22" s="1"/>
  <c r="E57" i="22" s="1"/>
  <c r="C78" i="21"/>
  <c r="C57" i="21"/>
  <c r="C78" i="20"/>
  <c r="D78" i="20" s="1"/>
  <c r="E78" i="20" s="1"/>
  <c r="C57" i="20"/>
  <c r="C78" i="19"/>
  <c r="C57" i="19"/>
  <c r="D57" i="19" s="1"/>
  <c r="E57" i="19" s="1"/>
  <c r="C78" i="18"/>
  <c r="C57" i="18"/>
  <c r="D57" i="18" s="1"/>
  <c r="E57" i="18" s="1"/>
  <c r="C51" i="22"/>
  <c r="D51" i="22" s="1"/>
  <c r="E51" i="22" s="1"/>
  <c r="C51" i="21"/>
  <c r="D51" i="21" s="1"/>
  <c r="E51" i="21" s="1"/>
  <c r="C51" i="20"/>
  <c r="D51" i="20" s="1"/>
  <c r="E51" i="20" s="1"/>
  <c r="C51" i="18"/>
  <c r="D51" i="18" s="1"/>
  <c r="E51" i="18" s="1"/>
  <c r="C51" i="26"/>
  <c r="D51" i="26" s="1"/>
  <c r="E51" i="26" s="1"/>
  <c r="C51" i="25"/>
  <c r="D51" i="25" s="1"/>
  <c r="E51" i="25" s="1"/>
  <c r="C51" i="24"/>
  <c r="D51" i="24" s="1"/>
  <c r="E51" i="24" s="1"/>
  <c r="C51" i="23"/>
  <c r="D51" i="23" s="1"/>
  <c r="E51" i="23" s="1"/>
  <c r="C51" i="19"/>
  <c r="D51" i="19" s="1"/>
  <c r="E51" i="19" s="1"/>
  <c r="C86" i="26"/>
  <c r="C79" i="26"/>
  <c r="C65" i="26"/>
  <c r="C58" i="26"/>
  <c r="C86" i="25"/>
  <c r="C79" i="25"/>
  <c r="C65" i="25"/>
  <c r="C58" i="25"/>
  <c r="C86" i="24"/>
  <c r="D86" i="24" s="1"/>
  <c r="E86" i="24" s="1"/>
  <c r="C79" i="24"/>
  <c r="D79" i="24" s="1"/>
  <c r="E79" i="24" s="1"/>
  <c r="C65" i="24"/>
  <c r="C58" i="24"/>
  <c r="C86" i="23"/>
  <c r="C79" i="23"/>
  <c r="C65" i="23"/>
  <c r="D65" i="23" s="1"/>
  <c r="E65" i="23" s="1"/>
  <c r="C58" i="23"/>
  <c r="D58" i="23" s="1"/>
  <c r="E58" i="23" s="1"/>
  <c r="C86" i="22"/>
  <c r="C79" i="22"/>
  <c r="C65" i="22"/>
  <c r="D65" i="22" s="1"/>
  <c r="E65" i="22" s="1"/>
  <c r="C58" i="22"/>
  <c r="D58" i="22" s="1"/>
  <c r="E58" i="22" s="1"/>
  <c r="C86" i="21"/>
  <c r="C79" i="21"/>
  <c r="C65" i="21"/>
  <c r="C58" i="21"/>
  <c r="C86" i="20"/>
  <c r="D86" i="20" s="1"/>
  <c r="E86" i="20" s="1"/>
  <c r="C79" i="20"/>
  <c r="D79" i="20" s="1"/>
  <c r="E79" i="20" s="1"/>
  <c r="C65" i="20"/>
  <c r="C58" i="20"/>
  <c r="C86" i="19"/>
  <c r="C79" i="19"/>
  <c r="C65" i="19"/>
  <c r="D65" i="19" s="1"/>
  <c r="E65" i="19" s="1"/>
  <c r="C58" i="19"/>
  <c r="D58" i="19" s="1"/>
  <c r="E58" i="19" s="1"/>
  <c r="C86" i="18"/>
  <c r="C79" i="18"/>
  <c r="C65" i="18"/>
  <c r="D65" i="18" s="1"/>
  <c r="E65" i="18" s="1"/>
  <c r="C58" i="18"/>
  <c r="D58" i="18" s="1"/>
  <c r="E58" i="18" s="1"/>
  <c r="C86" i="3"/>
  <c r="C79" i="3"/>
  <c r="C65" i="3"/>
  <c r="C58" i="3"/>
  <c r="C77" i="26"/>
  <c r="C56" i="26"/>
  <c r="C77" i="25"/>
  <c r="C56" i="25"/>
  <c r="C77" i="24"/>
  <c r="D77" i="24" s="1"/>
  <c r="E77" i="24" s="1"/>
  <c r="C56" i="24"/>
  <c r="C77" i="23"/>
  <c r="C56" i="23"/>
  <c r="D56" i="23" s="1"/>
  <c r="E56" i="23" s="1"/>
  <c r="C77" i="22"/>
  <c r="C56" i="22"/>
  <c r="D56" i="22" s="1"/>
  <c r="E56" i="22" s="1"/>
  <c r="C77" i="21"/>
  <c r="C56" i="21"/>
  <c r="C77" i="20"/>
  <c r="D77" i="20" s="1"/>
  <c r="E77" i="20" s="1"/>
  <c r="C56" i="20"/>
  <c r="C77" i="19"/>
  <c r="C56" i="19"/>
  <c r="D56" i="19" s="1"/>
  <c r="E56" i="19" s="1"/>
  <c r="C77" i="18"/>
  <c r="C56" i="18"/>
  <c r="D56" i="18" s="1"/>
  <c r="E56" i="18" s="1"/>
  <c r="C90" i="26"/>
  <c r="C69" i="26"/>
  <c r="C90" i="25"/>
  <c r="C69" i="25"/>
  <c r="C90" i="24"/>
  <c r="D90" i="24" s="1"/>
  <c r="E90" i="24" s="1"/>
  <c r="C69" i="24"/>
  <c r="C90" i="23"/>
  <c r="C69" i="23"/>
  <c r="C90" i="22"/>
  <c r="C69" i="22"/>
  <c r="D69" i="22" s="1"/>
  <c r="E69" i="22" s="1"/>
  <c r="C90" i="21"/>
  <c r="C69" i="21"/>
  <c r="C90" i="20"/>
  <c r="D90" i="20" s="1"/>
  <c r="E90" i="20" s="1"/>
  <c r="C69" i="20"/>
  <c r="C90" i="19"/>
  <c r="C69" i="19"/>
  <c r="C90" i="18"/>
  <c r="C69" i="18"/>
  <c r="D69" i="18" s="1"/>
  <c r="E69" i="18" s="1"/>
  <c r="C27" i="26"/>
  <c r="D27" i="26" s="1"/>
  <c r="E27" i="26" s="1"/>
  <c r="C24" i="26"/>
  <c r="D24" i="26" s="1"/>
  <c r="E24" i="26" s="1"/>
  <c r="C19" i="26"/>
  <c r="D19" i="26" s="1"/>
  <c r="E19" i="26" s="1"/>
  <c r="C16" i="26"/>
  <c r="D16" i="26" s="1"/>
  <c r="E16" i="26" s="1"/>
  <c r="C27" i="25"/>
  <c r="C24" i="25"/>
  <c r="D24" i="25" s="1"/>
  <c r="E24" i="25" s="1"/>
  <c r="C19" i="25"/>
  <c r="C16" i="25"/>
  <c r="D16" i="25" s="1"/>
  <c r="E16" i="25" s="1"/>
  <c r="C27" i="24"/>
  <c r="D27" i="24" s="1"/>
  <c r="E27" i="24" s="1"/>
  <c r="C24" i="24"/>
  <c r="D24" i="24" s="1"/>
  <c r="E24" i="24" s="1"/>
  <c r="C19" i="24"/>
  <c r="D19" i="24" s="1"/>
  <c r="E19" i="24" s="1"/>
  <c r="C16" i="24"/>
  <c r="D16" i="24" s="1"/>
  <c r="E16" i="24" s="1"/>
  <c r="C27" i="23"/>
  <c r="D27" i="23" s="1"/>
  <c r="E27" i="23" s="1"/>
  <c r="C24" i="23"/>
  <c r="D24" i="23" s="1"/>
  <c r="E24" i="23" s="1"/>
  <c r="C19" i="23"/>
  <c r="D19" i="23" s="1"/>
  <c r="E19" i="23" s="1"/>
  <c r="C16" i="23"/>
  <c r="D16" i="23" s="1"/>
  <c r="E16" i="23" s="1"/>
  <c r="C27" i="22"/>
  <c r="D27" i="22" s="1"/>
  <c r="E27" i="22" s="1"/>
  <c r="C24" i="22"/>
  <c r="D24" i="22" s="1"/>
  <c r="E24" i="22" s="1"/>
  <c r="C19" i="22"/>
  <c r="D19" i="22" s="1"/>
  <c r="E19" i="22" s="1"/>
  <c r="C16" i="22"/>
  <c r="D16" i="22" s="1"/>
  <c r="E16" i="22" s="1"/>
  <c r="C27" i="21"/>
  <c r="D27" i="21" s="1"/>
  <c r="E27" i="21" s="1"/>
  <c r="C24" i="21"/>
  <c r="D24" i="21" s="1"/>
  <c r="E24" i="21" s="1"/>
  <c r="C19" i="21"/>
  <c r="D19" i="21" s="1"/>
  <c r="E19" i="21" s="1"/>
  <c r="C16" i="21"/>
  <c r="D16" i="21" s="1"/>
  <c r="E16" i="21" s="1"/>
  <c r="C27" i="20"/>
  <c r="C24" i="20"/>
  <c r="D24" i="20" s="1"/>
  <c r="E24" i="20" s="1"/>
  <c r="C19" i="20"/>
  <c r="C16" i="20"/>
  <c r="D16" i="20" s="1"/>
  <c r="E16" i="20" s="1"/>
  <c r="C27" i="19"/>
  <c r="C24" i="19"/>
  <c r="D24" i="19" s="1"/>
  <c r="E24" i="19" s="1"/>
  <c r="C19" i="19"/>
  <c r="C16" i="19"/>
  <c r="D16" i="19" s="1"/>
  <c r="E16" i="19" s="1"/>
  <c r="C27" i="18"/>
  <c r="C24" i="18"/>
  <c r="D24" i="18" s="1"/>
  <c r="E24" i="18" s="1"/>
  <c r="C19" i="18"/>
  <c r="C16" i="18"/>
  <c r="D16" i="18" s="1"/>
  <c r="E16" i="18" s="1"/>
  <c r="C28" i="26"/>
  <c r="D28" i="26" s="1"/>
  <c r="E28" i="26" s="1"/>
  <c r="C25" i="26"/>
  <c r="D25" i="26" s="1"/>
  <c r="E25" i="26" s="1"/>
  <c r="C20" i="26"/>
  <c r="D20" i="26" s="1"/>
  <c r="E20" i="26" s="1"/>
  <c r="C17" i="26"/>
  <c r="D17" i="26" s="1"/>
  <c r="E17" i="26" s="1"/>
  <c r="C28" i="25"/>
  <c r="C25" i="25"/>
  <c r="D25" i="25" s="1"/>
  <c r="E25" i="25" s="1"/>
  <c r="C20" i="25"/>
  <c r="C17" i="25"/>
  <c r="D17" i="25" s="1"/>
  <c r="E17" i="25" s="1"/>
  <c r="C28" i="24"/>
  <c r="D28" i="24" s="1"/>
  <c r="E28" i="24" s="1"/>
  <c r="C25" i="24"/>
  <c r="D25" i="24" s="1"/>
  <c r="E25" i="24" s="1"/>
  <c r="C20" i="24"/>
  <c r="D20" i="24" s="1"/>
  <c r="E20" i="24" s="1"/>
  <c r="C17" i="24"/>
  <c r="D17" i="24" s="1"/>
  <c r="E17" i="24" s="1"/>
  <c r="C28" i="23"/>
  <c r="D28" i="23" s="1"/>
  <c r="E28" i="23" s="1"/>
  <c r="C25" i="23"/>
  <c r="D25" i="23" s="1"/>
  <c r="E25" i="23" s="1"/>
  <c r="C20" i="23"/>
  <c r="D20" i="23" s="1"/>
  <c r="E20" i="23" s="1"/>
  <c r="C17" i="23"/>
  <c r="D17" i="23" s="1"/>
  <c r="E17" i="23" s="1"/>
  <c r="C28" i="22"/>
  <c r="D28" i="22" s="1"/>
  <c r="E28" i="22" s="1"/>
  <c r="C25" i="22"/>
  <c r="D25" i="22" s="1"/>
  <c r="E25" i="22" s="1"/>
  <c r="C20" i="22"/>
  <c r="D20" i="22" s="1"/>
  <c r="E20" i="22" s="1"/>
  <c r="C17" i="22"/>
  <c r="D17" i="22" s="1"/>
  <c r="E17" i="22" s="1"/>
  <c r="C28" i="21"/>
  <c r="D28" i="21" s="1"/>
  <c r="E28" i="21" s="1"/>
  <c r="C25" i="21"/>
  <c r="D25" i="21" s="1"/>
  <c r="E25" i="21" s="1"/>
  <c r="C20" i="21"/>
  <c r="D20" i="21" s="1"/>
  <c r="E20" i="21" s="1"/>
  <c r="C17" i="21"/>
  <c r="D17" i="21" s="1"/>
  <c r="E17" i="21" s="1"/>
  <c r="C28" i="20"/>
  <c r="C25" i="20"/>
  <c r="D25" i="20" s="1"/>
  <c r="E25" i="20" s="1"/>
  <c r="C20" i="20"/>
  <c r="C17" i="20"/>
  <c r="D17" i="20" s="1"/>
  <c r="E17" i="20" s="1"/>
  <c r="C28" i="19"/>
  <c r="C25" i="19"/>
  <c r="D25" i="19" s="1"/>
  <c r="E25" i="19" s="1"/>
  <c r="C20" i="19"/>
  <c r="C17" i="19"/>
  <c r="D17" i="19" s="1"/>
  <c r="E17" i="19" s="1"/>
  <c r="C28" i="18"/>
  <c r="C25" i="18"/>
  <c r="D25" i="18" s="1"/>
  <c r="E25" i="18" s="1"/>
  <c r="C20" i="18"/>
  <c r="C17" i="18"/>
  <c r="D17" i="18" s="1"/>
  <c r="E17" i="18" s="1"/>
  <c r="C42" i="26"/>
  <c r="D42" i="26" s="1"/>
  <c r="E42" i="26" s="1"/>
  <c r="C42" i="25"/>
  <c r="D42" i="25" s="1"/>
  <c r="E42" i="25" s="1"/>
  <c r="C42" i="24"/>
  <c r="C42" i="23"/>
  <c r="C42" i="22"/>
  <c r="C42" i="21"/>
  <c r="C42" i="20"/>
  <c r="C42" i="19"/>
  <c r="C42" i="18"/>
  <c r="C85" i="26"/>
  <c r="C64" i="26"/>
  <c r="C85" i="25"/>
  <c r="C64" i="25"/>
  <c r="C85" i="24"/>
  <c r="D85" i="24" s="1"/>
  <c r="E85" i="24" s="1"/>
  <c r="C64" i="24"/>
  <c r="C85" i="23"/>
  <c r="C64" i="23"/>
  <c r="D64" i="23" s="1"/>
  <c r="E64" i="23" s="1"/>
  <c r="C85" i="22"/>
  <c r="C64" i="22"/>
  <c r="D64" i="22" s="1"/>
  <c r="E64" i="22" s="1"/>
  <c r="C85" i="21"/>
  <c r="C64" i="21"/>
  <c r="C85" i="20"/>
  <c r="D85" i="20" s="1"/>
  <c r="E85" i="20" s="1"/>
  <c r="C64" i="20"/>
  <c r="C85" i="19"/>
  <c r="C64" i="19"/>
  <c r="D64" i="19" s="1"/>
  <c r="E64" i="19" s="1"/>
  <c r="C85" i="18"/>
  <c r="C64" i="18"/>
  <c r="D64" i="18" s="1"/>
  <c r="E64" i="18" s="1"/>
  <c r="C26" i="26"/>
  <c r="D26" i="26" s="1"/>
  <c r="E26" i="26" s="1"/>
  <c r="C23" i="26"/>
  <c r="D23" i="26" s="1"/>
  <c r="E23" i="26" s="1"/>
  <c r="C18" i="26"/>
  <c r="D18" i="26" s="1"/>
  <c r="E18" i="26" s="1"/>
  <c r="C15" i="26"/>
  <c r="D15" i="26" s="1"/>
  <c r="E15" i="26" s="1"/>
  <c r="C26" i="25"/>
  <c r="C23" i="25"/>
  <c r="D23" i="25" s="1"/>
  <c r="E23" i="25" s="1"/>
  <c r="C18" i="25"/>
  <c r="C15" i="25"/>
  <c r="D15" i="25" s="1"/>
  <c r="E15" i="25" s="1"/>
  <c r="C26" i="24"/>
  <c r="D26" i="24" s="1"/>
  <c r="E26" i="24" s="1"/>
  <c r="C23" i="24"/>
  <c r="D23" i="24" s="1"/>
  <c r="E23" i="24" s="1"/>
  <c r="C18" i="24"/>
  <c r="D18" i="24" s="1"/>
  <c r="E18" i="24" s="1"/>
  <c r="C15" i="24"/>
  <c r="D15" i="24" s="1"/>
  <c r="E15" i="24" s="1"/>
  <c r="C26" i="23"/>
  <c r="D26" i="23" s="1"/>
  <c r="E26" i="23" s="1"/>
  <c r="C23" i="23"/>
  <c r="D23" i="23" s="1"/>
  <c r="E23" i="23" s="1"/>
  <c r="C18" i="23"/>
  <c r="D18" i="23" s="1"/>
  <c r="E18" i="23" s="1"/>
  <c r="C15" i="23"/>
  <c r="D15" i="23" s="1"/>
  <c r="E15" i="23" s="1"/>
  <c r="C26" i="22"/>
  <c r="D26" i="22" s="1"/>
  <c r="E26" i="22" s="1"/>
  <c r="C23" i="22"/>
  <c r="D23" i="22" s="1"/>
  <c r="E23" i="22" s="1"/>
  <c r="C18" i="22"/>
  <c r="D18" i="22" s="1"/>
  <c r="E18" i="22" s="1"/>
  <c r="C15" i="22"/>
  <c r="D15" i="22" s="1"/>
  <c r="E15" i="22" s="1"/>
  <c r="C26" i="21"/>
  <c r="D26" i="21" s="1"/>
  <c r="E26" i="21" s="1"/>
  <c r="C23" i="21"/>
  <c r="D23" i="21" s="1"/>
  <c r="E23" i="21" s="1"/>
  <c r="C18" i="21"/>
  <c r="D18" i="21" s="1"/>
  <c r="E18" i="21" s="1"/>
  <c r="C15" i="21"/>
  <c r="D15" i="21" s="1"/>
  <c r="E15" i="21" s="1"/>
  <c r="C26" i="20"/>
  <c r="C23" i="20"/>
  <c r="D23" i="20" s="1"/>
  <c r="E23" i="20" s="1"/>
  <c r="C18" i="20"/>
  <c r="C15" i="20"/>
  <c r="D15" i="20" s="1"/>
  <c r="E15" i="20" s="1"/>
  <c r="C26" i="19"/>
  <c r="C23" i="19"/>
  <c r="D23" i="19" s="1"/>
  <c r="E23" i="19" s="1"/>
  <c r="C18" i="19"/>
  <c r="C15" i="19"/>
  <c r="D15" i="19" s="1"/>
  <c r="E15" i="19" s="1"/>
  <c r="C26" i="18"/>
  <c r="C23" i="18"/>
  <c r="D23" i="18" s="1"/>
  <c r="E23" i="18" s="1"/>
  <c r="C18" i="18"/>
  <c r="C15" i="18"/>
  <c r="D15" i="18" s="1"/>
  <c r="E15" i="18" s="1"/>
  <c r="C50" i="26"/>
  <c r="D50" i="26" s="1"/>
  <c r="E50" i="26" s="1"/>
  <c r="C50" i="25"/>
  <c r="D50" i="25" s="1"/>
  <c r="E50" i="25" s="1"/>
  <c r="C50" i="24"/>
  <c r="D50" i="24" s="1"/>
  <c r="E50" i="24" s="1"/>
  <c r="C50" i="23"/>
  <c r="D50" i="23" s="1"/>
  <c r="E50" i="23" s="1"/>
  <c r="C50" i="22"/>
  <c r="D50" i="22" s="1"/>
  <c r="E50" i="22" s="1"/>
  <c r="C50" i="21"/>
  <c r="D50" i="21" s="1"/>
  <c r="E50" i="21" s="1"/>
  <c r="C50" i="20"/>
  <c r="D50" i="20" s="1"/>
  <c r="E50" i="20" s="1"/>
  <c r="C50" i="19"/>
  <c r="D50" i="19" s="1"/>
  <c r="E50" i="19" s="1"/>
  <c r="C50" i="18"/>
  <c r="D50" i="18" s="1"/>
  <c r="E50" i="18" s="1"/>
  <c r="C35" i="26"/>
  <c r="D35" i="26" s="1"/>
  <c r="E35" i="26" s="1"/>
  <c r="C35" i="25"/>
  <c r="C35" i="24"/>
  <c r="D35" i="24" s="1"/>
  <c r="E35" i="24" s="1"/>
  <c r="C35" i="23"/>
  <c r="D35" i="23" s="1"/>
  <c r="E35" i="23" s="1"/>
  <c r="C35" i="22"/>
  <c r="D35" i="22" s="1"/>
  <c r="E35" i="22" s="1"/>
  <c r="C35" i="21"/>
  <c r="D35" i="21" s="1"/>
  <c r="E35" i="21" s="1"/>
  <c r="C35" i="20"/>
  <c r="C35" i="19"/>
  <c r="C35" i="18"/>
  <c r="C34" i="26"/>
  <c r="D34" i="26" s="1"/>
  <c r="E34" i="26" s="1"/>
  <c r="C34" i="25"/>
  <c r="D34" i="25" s="1"/>
  <c r="E34" i="25" s="1"/>
  <c r="C34" i="24"/>
  <c r="D34" i="24" s="1"/>
  <c r="E34" i="24" s="1"/>
  <c r="C34" i="23"/>
  <c r="D34" i="23" s="1"/>
  <c r="E34" i="23" s="1"/>
  <c r="C34" i="22"/>
  <c r="D34" i="22" s="1"/>
  <c r="E34" i="22" s="1"/>
  <c r="C34" i="21"/>
  <c r="D34" i="21" s="1"/>
  <c r="E34" i="21" s="1"/>
  <c r="C34" i="20"/>
  <c r="D34" i="20" s="1"/>
  <c r="E34" i="20" s="1"/>
  <c r="C34" i="19"/>
  <c r="D34" i="19" s="1"/>
  <c r="E34" i="19" s="1"/>
  <c r="C34" i="18"/>
  <c r="D34" i="18" s="1"/>
  <c r="E34" i="18" s="1"/>
  <c r="C72" i="26"/>
  <c r="C72" i="25"/>
  <c r="C72" i="24"/>
  <c r="C72" i="23"/>
  <c r="D72" i="23" s="1"/>
  <c r="E72" i="23" s="1"/>
  <c r="C72" i="22"/>
  <c r="C72" i="21"/>
  <c r="C72" i="20"/>
  <c r="C72" i="19"/>
  <c r="D72" i="19" s="1"/>
  <c r="E72" i="19" s="1"/>
  <c r="C72" i="18"/>
  <c r="C91" i="26"/>
  <c r="C70" i="26"/>
  <c r="C91" i="25"/>
  <c r="C70" i="25"/>
  <c r="C91" i="24"/>
  <c r="D91" i="24" s="1"/>
  <c r="E91" i="24" s="1"/>
  <c r="C70" i="24"/>
  <c r="C91" i="23"/>
  <c r="C70" i="23"/>
  <c r="C91" i="22"/>
  <c r="C70" i="22"/>
  <c r="D70" i="22" s="1"/>
  <c r="E70" i="22" s="1"/>
  <c r="C91" i="21"/>
  <c r="C70" i="21"/>
  <c r="C91" i="20"/>
  <c r="D91" i="20" s="1"/>
  <c r="E91" i="20" s="1"/>
  <c r="C70" i="20"/>
  <c r="C91" i="19"/>
  <c r="C70" i="19"/>
  <c r="C91" i="18"/>
  <c r="C70" i="18"/>
  <c r="D70" i="18" s="1"/>
  <c r="E70" i="18" s="1"/>
  <c r="C48" i="26"/>
  <c r="D48" i="26" s="1"/>
  <c r="E48" i="26" s="1"/>
  <c r="C46" i="26"/>
  <c r="D46" i="26" s="1"/>
  <c r="E46" i="26" s="1"/>
  <c r="C48" i="25"/>
  <c r="D48" i="25" s="1"/>
  <c r="E48" i="25" s="1"/>
  <c r="C46" i="25"/>
  <c r="D46" i="25" s="1"/>
  <c r="E46" i="25" s="1"/>
  <c r="C48" i="24"/>
  <c r="D48" i="24" s="1"/>
  <c r="E48" i="24" s="1"/>
  <c r="C46" i="24"/>
  <c r="D46" i="24" s="1"/>
  <c r="E46" i="24" s="1"/>
  <c r="C48" i="23"/>
  <c r="D48" i="23" s="1"/>
  <c r="E48" i="23" s="1"/>
  <c r="C46" i="23"/>
  <c r="D46" i="23" s="1"/>
  <c r="E46" i="23" s="1"/>
  <c r="C48" i="22"/>
  <c r="D48" i="22" s="1"/>
  <c r="E48" i="22" s="1"/>
  <c r="C46" i="22"/>
  <c r="D46" i="22" s="1"/>
  <c r="E46" i="22" s="1"/>
  <c r="C48" i="21"/>
  <c r="D48" i="21" s="1"/>
  <c r="E48" i="21" s="1"/>
  <c r="C46" i="21"/>
  <c r="D46" i="21" s="1"/>
  <c r="E46" i="21" s="1"/>
  <c r="C48" i="20"/>
  <c r="D48" i="20" s="1"/>
  <c r="E48" i="20" s="1"/>
  <c r="C46" i="20"/>
  <c r="D46" i="20" s="1"/>
  <c r="E46" i="20" s="1"/>
  <c r="C48" i="19"/>
  <c r="D48" i="19" s="1"/>
  <c r="E48" i="19" s="1"/>
  <c r="C46" i="19"/>
  <c r="D46" i="19" s="1"/>
  <c r="E46" i="19" s="1"/>
  <c r="C48" i="18"/>
  <c r="D48" i="18" s="1"/>
  <c r="E48" i="18" s="1"/>
  <c r="C46" i="18"/>
  <c r="D46" i="18" s="1"/>
  <c r="E46" i="18" s="1"/>
  <c r="C48" i="3"/>
  <c r="D48" i="3" s="1"/>
  <c r="E48" i="3" s="1"/>
  <c r="C46" i="3"/>
  <c r="D46" i="3" s="1"/>
  <c r="E46" i="3" s="1"/>
  <c r="G36" i="1"/>
  <c r="G35" i="1"/>
  <c r="C38" i="26"/>
  <c r="C38" i="25"/>
  <c r="C38" i="24"/>
  <c r="D38" i="24" s="1"/>
  <c r="E38" i="24" s="1"/>
  <c r="C38" i="23"/>
  <c r="D38" i="23" s="1"/>
  <c r="E38" i="23" s="1"/>
  <c r="C38" i="22"/>
  <c r="D38" i="22" s="1"/>
  <c r="E38" i="22" s="1"/>
  <c r="C38" i="21"/>
  <c r="D38" i="21" s="1"/>
  <c r="E38" i="21" s="1"/>
  <c r="C38" i="20"/>
  <c r="D38" i="20" s="1"/>
  <c r="E38" i="20" s="1"/>
  <c r="C38" i="19"/>
  <c r="D38" i="19" s="1"/>
  <c r="E38" i="19" s="1"/>
  <c r="C38" i="18"/>
  <c r="D38" i="18" s="1"/>
  <c r="E38" i="18" s="1"/>
  <c r="C84" i="3"/>
  <c r="C88" i="3"/>
  <c r="C81" i="3"/>
  <c r="C39" i="3"/>
  <c r="E39" i="3" s="1"/>
  <c r="C51" i="3"/>
  <c r="D51" i="3" s="1"/>
  <c r="E51" i="3" s="1"/>
  <c r="C67" i="3"/>
  <c r="C60" i="3"/>
  <c r="B7" i="3"/>
  <c r="C63" i="3" s="1"/>
  <c r="E60" i="3"/>
  <c r="C95" i="3"/>
  <c r="D59" i="3"/>
  <c r="E59" i="3" s="1"/>
  <c r="C35" i="3"/>
  <c r="E35" i="3" s="1"/>
  <c r="C72" i="3"/>
  <c r="D72" i="3" s="1"/>
  <c r="E72" i="3" s="1"/>
  <c r="C50" i="3"/>
  <c r="D50" i="3" s="1"/>
  <c r="E50" i="3" s="1"/>
  <c r="C94" i="3"/>
  <c r="C91" i="3"/>
  <c r="D91" i="3" s="1"/>
  <c r="E91" i="3" s="1"/>
  <c r="C70" i="3"/>
  <c r="D70" i="3" s="1"/>
  <c r="E70" i="3" s="1"/>
  <c r="D95" i="3"/>
  <c r="E95" i="3" s="1"/>
  <c r="C77" i="3"/>
  <c r="D77" i="3" s="1"/>
  <c r="E77" i="3" s="1"/>
  <c r="C56" i="3"/>
  <c r="D56" i="3" s="1"/>
  <c r="E56" i="3" s="1"/>
  <c r="C25" i="3"/>
  <c r="D25" i="3" s="1"/>
  <c r="E25" i="3" s="1"/>
  <c r="C28" i="3"/>
  <c r="D28" i="3" s="1"/>
  <c r="E28" i="3" s="1"/>
  <c r="C20" i="3"/>
  <c r="D20" i="3" s="1"/>
  <c r="E20" i="3" s="1"/>
  <c r="C17" i="3"/>
  <c r="D17" i="3" s="1"/>
  <c r="E17" i="3" s="1"/>
  <c r="D94" i="3"/>
  <c r="E94" i="3" s="1"/>
  <c r="C38" i="3"/>
  <c r="D38" i="3" s="1"/>
  <c r="E38" i="3" s="1"/>
  <c r="D66" i="3"/>
  <c r="E66" i="3" s="1"/>
  <c r="D87" i="3"/>
  <c r="E87" i="3" s="1"/>
  <c r="D80" i="3"/>
  <c r="E80" i="3" s="1"/>
  <c r="C23" i="3"/>
  <c r="D23" i="3" s="1"/>
  <c r="E23" i="3" s="1"/>
  <c r="C15" i="3"/>
  <c r="D15" i="3" s="1"/>
  <c r="E15" i="3" s="1"/>
  <c r="C26" i="3"/>
  <c r="D26" i="3" s="1"/>
  <c r="E26" i="3" s="1"/>
  <c r="C18" i="3"/>
  <c r="D18" i="3" s="1"/>
  <c r="E18" i="3" s="1"/>
  <c r="C76" i="3"/>
  <c r="D76" i="3" s="1"/>
  <c r="E76" i="3" s="1"/>
  <c r="C55" i="3"/>
  <c r="D55" i="3" s="1"/>
  <c r="E55" i="3" s="1"/>
  <c r="C34" i="3"/>
  <c r="D34" i="3" s="1"/>
  <c r="E34" i="3" s="1"/>
  <c r="C42" i="3"/>
  <c r="C90" i="3"/>
  <c r="D90" i="3" s="1"/>
  <c r="E90" i="3" s="1"/>
  <c r="C69" i="3"/>
  <c r="C85" i="3"/>
  <c r="D85" i="3" s="1"/>
  <c r="E85" i="3" s="1"/>
  <c r="C64" i="3"/>
  <c r="D64" i="3" s="1"/>
  <c r="E64" i="3" s="1"/>
  <c r="C24" i="3"/>
  <c r="D24" i="3" s="1"/>
  <c r="E24" i="3" s="1"/>
  <c r="C27" i="3"/>
  <c r="D27" i="3" s="1"/>
  <c r="E27" i="3" s="1"/>
  <c r="C19" i="3"/>
  <c r="D19" i="3" s="1"/>
  <c r="E19" i="3" s="1"/>
  <c r="C16" i="3"/>
  <c r="D16" i="3" s="1"/>
  <c r="E16" i="3" s="1"/>
  <c r="C83" i="3"/>
  <c r="D83" i="3" s="1"/>
  <c r="E83" i="3" s="1"/>
  <c r="C62" i="3"/>
  <c r="D62" i="3" s="1"/>
  <c r="E62" i="3" s="1"/>
  <c r="C78" i="3"/>
  <c r="D78" i="3" s="1"/>
  <c r="E78" i="3" s="1"/>
  <c r="C57" i="3"/>
  <c r="D57" i="3" s="1"/>
  <c r="E57" i="3" s="1"/>
  <c r="E105" i="21" l="1"/>
  <c r="E103" i="25"/>
  <c r="E105" i="20"/>
  <c r="E99" i="19"/>
  <c r="E99" i="23"/>
  <c r="E100" i="23" s="1"/>
  <c r="E99" i="21"/>
  <c r="E101" i="21" s="1"/>
  <c r="E99" i="25"/>
  <c r="E100" i="25" s="1"/>
  <c r="E103" i="26"/>
  <c r="L9" i="13" s="1"/>
  <c r="E105" i="22"/>
  <c r="H10" i="13" s="1"/>
  <c r="E105" i="26"/>
  <c r="L10" i="13" s="1"/>
  <c r="E99" i="20"/>
  <c r="E99" i="22"/>
  <c r="E99" i="24"/>
  <c r="E101" i="24" s="1"/>
  <c r="E99" i="26"/>
  <c r="E100" i="26" s="1"/>
  <c r="E99" i="18"/>
  <c r="E101" i="18" s="1"/>
  <c r="E105" i="18"/>
  <c r="D10" i="13" s="1"/>
  <c r="C94" i="26"/>
  <c r="C94" i="20"/>
  <c r="D94" i="20" s="1"/>
  <c r="E94" i="20" s="1"/>
  <c r="C94" i="18"/>
  <c r="C95" i="18"/>
  <c r="C95" i="26"/>
  <c r="C94" i="25"/>
  <c r="C95" i="25"/>
  <c r="C95" i="24"/>
  <c r="D95" i="24" s="1"/>
  <c r="E95" i="24" s="1"/>
  <c r="C94" i="24"/>
  <c r="D94" i="24" s="1"/>
  <c r="E94" i="24" s="1"/>
  <c r="E110" i="24" s="1"/>
  <c r="E111" i="24" s="1"/>
  <c r="J12" i="13" s="1"/>
  <c r="C94" i="23"/>
  <c r="C95" i="23"/>
  <c r="C94" i="22"/>
  <c r="C95" i="22"/>
  <c r="C94" i="21"/>
  <c r="C95" i="21"/>
  <c r="C95" i="20"/>
  <c r="D95" i="20" s="1"/>
  <c r="E95" i="20" s="1"/>
  <c r="C94" i="19"/>
  <c r="C95" i="19"/>
  <c r="E103" i="18"/>
  <c r="D9" i="13" s="1"/>
  <c r="E103" i="19"/>
  <c r="E103" i="20"/>
  <c r="E103" i="21"/>
  <c r="G9" i="13" s="1"/>
  <c r="E103" i="22"/>
  <c r="H9" i="13" s="1"/>
  <c r="E103" i="23"/>
  <c r="I9" i="13" s="1"/>
  <c r="E103" i="24"/>
  <c r="J9" i="13" s="1"/>
  <c r="E101" i="19"/>
  <c r="E100" i="19"/>
  <c r="E101" i="20"/>
  <c r="E100" i="20"/>
  <c r="E100" i="21"/>
  <c r="E101" i="22"/>
  <c r="E100" i="22"/>
  <c r="E105" i="19"/>
  <c r="E10" i="13" s="1"/>
  <c r="E105" i="23"/>
  <c r="I10" i="13" s="1"/>
  <c r="E105" i="24"/>
  <c r="J10" i="13" s="1"/>
  <c r="E105" i="25"/>
  <c r="K10" i="13" s="1"/>
  <c r="E107" i="18"/>
  <c r="E108" i="18" s="1"/>
  <c r="D11" i="13" s="1"/>
  <c r="E107" i="22"/>
  <c r="E108" i="22" s="1"/>
  <c r="H11" i="13" s="1"/>
  <c r="E107" i="19"/>
  <c r="E108" i="19" s="1"/>
  <c r="E11" i="13" s="1"/>
  <c r="E107" i="23"/>
  <c r="E108" i="23" s="1"/>
  <c r="F10" i="13"/>
  <c r="G10" i="13"/>
  <c r="L12" i="13"/>
  <c r="F9" i="13"/>
  <c r="F11" i="13"/>
  <c r="K9" i="13"/>
  <c r="G12" i="13"/>
  <c r="J11" i="13"/>
  <c r="K11" i="13"/>
  <c r="D69" i="3"/>
  <c r="E69" i="3" s="1"/>
  <c r="E105" i="3"/>
  <c r="E103" i="3"/>
  <c r="C9" i="13" s="1"/>
  <c r="D63" i="3"/>
  <c r="E63" i="3" s="1"/>
  <c r="D84" i="3"/>
  <c r="E84" i="3" s="1"/>
  <c r="E110" i="3" s="1"/>
  <c r="E99" i="3"/>
  <c r="E101" i="23" l="1"/>
  <c r="E101" i="26"/>
  <c r="E101" i="25"/>
  <c r="E100" i="24"/>
  <c r="E110" i="20"/>
  <c r="E111" i="20" s="1"/>
  <c r="F12" i="13" s="1"/>
  <c r="E100" i="18"/>
  <c r="E113" i="26"/>
  <c r="E115" i="26" s="1"/>
  <c r="E113" i="25"/>
  <c r="E115" i="25" s="1"/>
  <c r="E113" i="24"/>
  <c r="E115" i="24" s="1"/>
  <c r="E113" i="23"/>
  <c r="E115" i="23" s="1"/>
  <c r="E113" i="22"/>
  <c r="E115" i="22" s="1"/>
  <c r="E113" i="21"/>
  <c r="E115" i="21" s="1"/>
  <c r="E113" i="20"/>
  <c r="E115" i="20" s="1"/>
  <c r="E113" i="19"/>
  <c r="E115" i="19" s="1"/>
  <c r="E113" i="18"/>
  <c r="E115" i="18" s="1"/>
  <c r="C10" i="13"/>
  <c r="E107" i="3"/>
  <c r="E108" i="3" s="1"/>
  <c r="C11" i="13" s="1"/>
  <c r="I11" i="13"/>
  <c r="E9" i="13"/>
  <c r="E8" i="13"/>
  <c r="E111" i="3"/>
  <c r="C12" i="13" s="1"/>
  <c r="E100" i="3"/>
  <c r="E101" i="3"/>
  <c r="C8" i="13" s="1"/>
  <c r="E117" i="18" l="1"/>
  <c r="E118" i="18" s="1"/>
  <c r="E116" i="18"/>
  <c r="E117" i="19"/>
  <c r="E118" i="19" s="1"/>
  <c r="E116" i="19"/>
  <c r="E117" i="20"/>
  <c r="E118" i="20" s="1"/>
  <c r="E116" i="20"/>
  <c r="E117" i="21"/>
  <c r="E118" i="21" s="1"/>
  <c r="E116" i="21"/>
  <c r="E117" i="22"/>
  <c r="E118" i="22" s="1"/>
  <c r="E116" i="22"/>
  <c r="J6" i="28" s="1"/>
  <c r="J9" i="28" s="1"/>
  <c r="J12" i="28" s="1"/>
  <c r="J15" i="28" s="1"/>
  <c r="J18" i="28" s="1"/>
  <c r="J21" i="28" s="1"/>
  <c r="E117" i="23"/>
  <c r="E118" i="23" s="1"/>
  <c r="E116" i="23"/>
  <c r="K6" i="28" s="1"/>
  <c r="K9" i="28" s="1"/>
  <c r="K12" i="28" s="1"/>
  <c r="K15" i="28" s="1"/>
  <c r="K18" i="28" s="1"/>
  <c r="K21" i="28" s="1"/>
  <c r="E117" i="24"/>
  <c r="E118" i="24" s="1"/>
  <c r="E116" i="24"/>
  <c r="E117" i="25"/>
  <c r="E118" i="25" s="1"/>
  <c r="E116" i="25"/>
  <c r="M6" i="28" s="1"/>
  <c r="M9" i="28" s="1"/>
  <c r="M12" i="28" s="1"/>
  <c r="M15" i="28" s="1"/>
  <c r="M18" i="28" s="1"/>
  <c r="M21" i="28" s="1"/>
  <c r="E117" i="26"/>
  <c r="E118" i="26" s="1"/>
  <c r="E116" i="26"/>
  <c r="E13" i="13"/>
  <c r="F5" i="28"/>
  <c r="F8" i="28" s="1"/>
  <c r="F11" i="28" s="1"/>
  <c r="F14" i="28" s="1"/>
  <c r="F17" i="28" s="1"/>
  <c r="F20" i="28" s="1"/>
  <c r="F6" i="28"/>
  <c r="F9" i="28" s="1"/>
  <c r="F12" i="28" s="1"/>
  <c r="F15" i="28" s="1"/>
  <c r="F18" i="28" s="1"/>
  <c r="F21" i="28" s="1"/>
  <c r="G13" i="13"/>
  <c r="K5" i="28"/>
  <c r="K8" i="28" s="1"/>
  <c r="K11" i="28" s="1"/>
  <c r="K14" i="28" s="1"/>
  <c r="K17" i="28" s="1"/>
  <c r="K20" i="28" s="1"/>
  <c r="H5" i="28"/>
  <c r="H8" i="28" s="1"/>
  <c r="H11" i="28" s="1"/>
  <c r="H14" i="28" s="1"/>
  <c r="H17" i="28" s="1"/>
  <c r="H20" i="28" s="1"/>
  <c r="H6" i="28"/>
  <c r="H9" i="28" s="1"/>
  <c r="H12" i="28" s="1"/>
  <c r="H15" i="28" s="1"/>
  <c r="H18" i="28" s="1"/>
  <c r="H21" i="28" s="1"/>
  <c r="L13" i="13"/>
  <c r="J5" i="28"/>
  <c r="J8" i="28" s="1"/>
  <c r="J11" i="28" s="1"/>
  <c r="J14" i="28" s="1"/>
  <c r="J17" i="28" s="1"/>
  <c r="J20" i="28" s="1"/>
  <c r="M5" i="28"/>
  <c r="M8" i="28" s="1"/>
  <c r="M11" i="28" s="1"/>
  <c r="M14" i="28" s="1"/>
  <c r="M17" i="28" s="1"/>
  <c r="M20" i="28" s="1"/>
  <c r="G5" i="28"/>
  <c r="G8" i="28" s="1"/>
  <c r="G11" i="28" s="1"/>
  <c r="G14" i="28" s="1"/>
  <c r="G17" i="28" s="1"/>
  <c r="G20" i="28" s="1"/>
  <c r="G6" i="28"/>
  <c r="G9" i="28" s="1"/>
  <c r="G12" i="28" s="1"/>
  <c r="G15" i="28" s="1"/>
  <c r="G18" i="28" s="1"/>
  <c r="G21" i="28" s="1"/>
  <c r="I13" i="13"/>
  <c r="I8" i="13"/>
  <c r="L8" i="13"/>
  <c r="D8" i="13"/>
  <c r="D13" i="13"/>
  <c r="H13" i="13"/>
  <c r="H8" i="13"/>
  <c r="G8" i="13"/>
  <c r="J8" i="13"/>
  <c r="K8" i="13"/>
  <c r="K13" i="13"/>
  <c r="F8" i="13"/>
  <c r="F13" i="13"/>
  <c r="E113" i="3"/>
  <c r="C13" i="13" s="1"/>
  <c r="J13" i="13" l="1"/>
  <c r="E115" i="3"/>
  <c r="L5" i="28"/>
  <c r="L8" i="28" s="1"/>
  <c r="L11" i="28" s="1"/>
  <c r="L14" i="28" s="1"/>
  <c r="L17" i="28" s="1"/>
  <c r="L20" i="28" s="1"/>
  <c r="L6" i="28"/>
  <c r="L9" i="28" s="1"/>
  <c r="L12" i="28" s="1"/>
  <c r="L15" i="28" s="1"/>
  <c r="L18" i="28" s="1"/>
  <c r="L21" i="28" s="1"/>
  <c r="N5" i="28"/>
  <c r="N8" i="28" s="1"/>
  <c r="N11" i="28" s="1"/>
  <c r="N14" i="28" s="1"/>
  <c r="N17" i="28" s="1"/>
  <c r="N20" i="28" s="1"/>
  <c r="N6" i="28"/>
  <c r="N9" i="28" s="1"/>
  <c r="N12" i="28" s="1"/>
  <c r="N15" i="28" s="1"/>
  <c r="N18" i="28" s="1"/>
  <c r="N21" i="28" s="1"/>
  <c r="I5" i="28"/>
  <c r="I8" i="28" s="1"/>
  <c r="I11" i="28" s="1"/>
  <c r="I14" i="28" s="1"/>
  <c r="I17" i="28" s="1"/>
  <c r="I20" i="28" s="1"/>
  <c r="I6" i="28"/>
  <c r="I9" i="28" s="1"/>
  <c r="I12" i="28" s="1"/>
  <c r="I15" i="28" s="1"/>
  <c r="I18" i="28" s="1"/>
  <c r="I21" i="28" s="1"/>
  <c r="E6" i="13"/>
  <c r="D11" i="27" s="1"/>
  <c r="E5" i="13"/>
  <c r="D10" i="27" s="1"/>
  <c r="J5" i="13"/>
  <c r="E13" i="27" s="1"/>
  <c r="D5" i="13"/>
  <c r="D7" i="27" s="1"/>
  <c r="I6" i="13"/>
  <c r="E11" i="27" s="1"/>
  <c r="E16" i="13"/>
  <c r="E15" i="13"/>
  <c r="G6" i="13" l="1"/>
  <c r="E5" i="27" s="1"/>
  <c r="C5" i="13"/>
  <c r="D4" i="27" s="1"/>
  <c r="E5" i="28"/>
  <c r="E8" i="28" s="1"/>
  <c r="E11" i="28" s="1"/>
  <c r="E14" i="28" s="1"/>
  <c r="E17" i="28" s="1"/>
  <c r="E20" i="28" s="1"/>
  <c r="I16" i="13"/>
  <c r="I5" i="13"/>
  <c r="E10" i="27" s="1"/>
  <c r="J15" i="13"/>
  <c r="J6" i="13"/>
  <c r="E14" i="27" s="1"/>
  <c r="G15" i="13"/>
  <c r="G5" i="13"/>
  <c r="E4" i="27" s="1"/>
  <c r="D16" i="13"/>
  <c r="D6" i="13"/>
  <c r="D8" i="27" s="1"/>
  <c r="I15" i="13"/>
  <c r="H5" i="13"/>
  <c r="E7" i="27" s="1"/>
  <c r="H6" i="13"/>
  <c r="E8" i="27" s="1"/>
  <c r="L6" i="13"/>
  <c r="L5" i="13"/>
  <c r="F6" i="13"/>
  <c r="D14" i="27" s="1"/>
  <c r="F5" i="13"/>
  <c r="D13" i="27" s="1"/>
  <c r="K5" i="13"/>
  <c r="K6" i="13"/>
  <c r="E116" i="3"/>
  <c r="E117" i="3"/>
  <c r="E16" i="27" l="1"/>
  <c r="E17" i="27"/>
  <c r="D16" i="27"/>
  <c r="C6" i="13"/>
  <c r="D5" i="27" s="1"/>
  <c r="E6" i="28"/>
  <c r="E9" i="28" s="1"/>
  <c r="E12" i="28" s="1"/>
  <c r="E15" i="28" s="1"/>
  <c r="E18" i="28" s="1"/>
  <c r="E21" i="28" s="1"/>
  <c r="G16" i="13"/>
  <c r="J16" i="13"/>
  <c r="D15" i="13"/>
  <c r="F16" i="13"/>
  <c r="F15" i="13"/>
  <c r="L16" i="13"/>
  <c r="L15" i="13"/>
  <c r="K16" i="13"/>
  <c r="K15" i="13"/>
  <c r="H15" i="13"/>
  <c r="H16" i="13"/>
  <c r="E118" i="3"/>
  <c r="C16" i="13" s="1"/>
  <c r="C15" i="13"/>
  <c r="D17" i="2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21" authorId="0" shapeId="0" xr:uid="{165A19F8-F3D5-4B71-8B08-108DA59D08E2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Add question mark.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83" authorId="0" shapeId="0" xr:uid="{C3F501F4-F248-40AB-B919-4DD1E1C2B4EF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Capitaliise 'coach salaries'.</t>
        </r>
      </text>
    </comment>
    <comment ref="B90" authorId="0" shapeId="0" xr:uid="{94FF3173-DE4A-45B6-B651-E114BE040C52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Lower case 'rental'</t>
        </r>
      </text>
    </comment>
  </commentList>
</comments>
</file>

<file path=xl/sharedStrings.xml><?xml version="1.0" encoding="utf-8"?>
<sst xmlns="http://schemas.openxmlformats.org/spreadsheetml/2006/main" count="4518" uniqueCount="583">
  <si>
    <t>Model 1</t>
  </si>
  <si>
    <t>Model 2</t>
  </si>
  <si>
    <t>Model 3</t>
  </si>
  <si>
    <t>Model 4</t>
  </si>
  <si>
    <t>Model 5</t>
  </si>
  <si>
    <t>Model 6</t>
  </si>
  <si>
    <t>Model 7</t>
  </si>
  <si>
    <t>Model 8</t>
  </si>
  <si>
    <t>Model 9</t>
  </si>
  <si>
    <t>Model 10</t>
  </si>
  <si>
    <t>General Assumptions</t>
  </si>
  <si>
    <t>Description of the Models</t>
  </si>
  <si>
    <t>Cost per teacher (ZAR)</t>
  </si>
  <si>
    <t>Cost Per learner (ZAR)</t>
  </si>
  <si>
    <t>Material Development and Review</t>
  </si>
  <si>
    <t>Material Provision</t>
  </si>
  <si>
    <t>Cost of Teacher Training (External &amp; Internal)</t>
  </si>
  <si>
    <t>Coaching Costs (External)</t>
  </si>
  <si>
    <t>Coaching Cost - DH Coaches (Internal)</t>
  </si>
  <si>
    <t>Management Costs</t>
  </si>
  <si>
    <t>Cost per teacher (USD)</t>
  </si>
  <si>
    <t>Cost Per learner (USD)</t>
  </si>
  <si>
    <t>Exchange Rate (ZAR/USD)</t>
  </si>
  <si>
    <t>Will the programme be HL only or HL+ EFAL</t>
  </si>
  <si>
    <t>Is teacher coaching taking place?</t>
  </si>
  <si>
    <t>In what form?</t>
  </si>
  <si>
    <t>Number of schools (One home language)</t>
  </si>
  <si>
    <t>Average number of teachers per grade within a school</t>
  </si>
  <si>
    <t>Teacher-School Ratio</t>
  </si>
  <si>
    <t>Teacher-Coach Ratio</t>
  </si>
  <si>
    <t>Learner-Teacher Ratio</t>
  </si>
  <si>
    <t>Management fee as a percentage of direct costs</t>
  </si>
  <si>
    <t>Tablet: Application and Audio-Visual Materials Development</t>
  </si>
  <si>
    <t>Will lesson plans be provided on tablets?</t>
  </si>
  <si>
    <t>Train-The-Coach (Train-The-Trainer) Assumptions (External)</t>
  </si>
  <si>
    <r>
      <t xml:space="preserve">How many days of </t>
    </r>
    <r>
      <rPr>
        <b/>
        <sz val="11"/>
        <color theme="1"/>
        <rFont val="Calibri"/>
        <family val="2"/>
        <scheme val="minor"/>
      </rPr>
      <t>initial training</t>
    </r>
    <r>
      <rPr>
        <sz val="11"/>
        <color theme="1"/>
        <rFont val="Calibri"/>
        <family val="2"/>
        <scheme val="minor"/>
      </rPr>
      <t xml:space="preserve"> should new coaches (external and internal) get?</t>
    </r>
  </si>
  <si>
    <r>
      <t xml:space="preserve">How many days of training should coaches / trainers get </t>
    </r>
    <r>
      <rPr>
        <b/>
        <sz val="11"/>
        <color theme="1"/>
        <rFont val="Calibri"/>
        <family val="2"/>
        <scheme val="minor"/>
      </rPr>
      <t>per quarter</t>
    </r>
    <r>
      <rPr>
        <sz val="11"/>
        <color theme="1"/>
        <rFont val="Calibri"/>
        <family val="2"/>
        <scheme val="minor"/>
      </rPr>
      <t>?</t>
    </r>
  </si>
  <si>
    <t>Internal DH Coaching HR Assumption</t>
  </si>
  <si>
    <t>How many DH coaches per Head Coach / Master Trainer (internal model)?</t>
  </si>
  <si>
    <t>How many DHs per DH Coach (internal model)?</t>
  </si>
  <si>
    <t>How long do DH coaches remain with the programme on average?</t>
  </si>
  <si>
    <t>Train-the-DH (Train-The-Trainer) Assumptions (Internal)</t>
  </si>
  <si>
    <r>
      <rPr>
        <b/>
        <sz val="11"/>
        <color theme="1"/>
        <rFont val="Calibri"/>
        <family val="2"/>
        <scheme val="minor"/>
      </rPr>
      <t>Per training session</t>
    </r>
    <r>
      <rPr>
        <sz val="11"/>
        <color theme="1"/>
        <rFont val="Calibri"/>
        <family val="2"/>
        <scheme val="minor"/>
      </rPr>
      <t>, how many Department Heads per trainer (external, led by support coaches)?</t>
    </r>
  </si>
  <si>
    <r>
      <t xml:space="preserve">How many days initial/residential training (external)? </t>
    </r>
    <r>
      <rPr>
        <b/>
        <sz val="11"/>
        <color theme="1"/>
        <rFont val="Calibri"/>
        <family val="2"/>
        <scheme val="minor"/>
      </rPr>
      <t>[2-day minimum]</t>
    </r>
  </si>
  <si>
    <t>How many of these initial/residential training sessions are there in the year (external)?</t>
  </si>
  <si>
    <t>How many days for smaller/ non-residential training (external)?</t>
  </si>
  <si>
    <t>How many of these smaller/ non-residential training sessions are there in the year (external)?</t>
  </si>
  <si>
    <t xml:space="preserve"> </t>
  </si>
  <si>
    <t>Cost (in ZAR 2025)</t>
  </si>
  <si>
    <t>Programme</t>
  </si>
  <si>
    <t>HL Only</t>
  </si>
  <si>
    <t>HL + EFAL</t>
  </si>
  <si>
    <t>Base Programme</t>
  </si>
  <si>
    <t>per teacher</t>
  </si>
  <si>
    <t>per learner</t>
  </si>
  <si>
    <t>In-person coaching (External) + BP</t>
  </si>
  <si>
    <t>Virtual coaching (External) + BP</t>
  </si>
  <si>
    <t>DH coaching (Internal, with External support) + BP</t>
  </si>
  <si>
    <t>(Any programme) + Extra cost for lesson plans on tablet</t>
  </si>
  <si>
    <t>Year</t>
  </si>
  <si>
    <t>Inflation (forecast)</t>
  </si>
  <si>
    <t>Est.</t>
  </si>
  <si>
    <t>4.4.%</t>
  </si>
  <si>
    <t>v</t>
  </si>
  <si>
    <t>Base Programme (HL Only)</t>
  </si>
  <si>
    <t>In-person Coaching (External), HL Only, Physical LPs</t>
  </si>
  <si>
    <t>Virtual Coaching (External), HL Only, Physical LPs</t>
  </si>
  <si>
    <t>DH Coaching (Internal), HL Only, Physical LPs</t>
  </si>
  <si>
    <t>Base Programme (HL + EFAL)</t>
  </si>
  <si>
    <t>In-person Coaching (External), HL + EFAL, Physical LPs</t>
  </si>
  <si>
    <t>Virtual Coaching (External), HL + EFAL, Physical LPs</t>
  </si>
  <si>
    <t>DH Coaching (Internal), HL + EFAL, Physical LPs</t>
  </si>
  <si>
    <t>Base Programme (HL Only), Tablets</t>
  </si>
  <si>
    <t>Base Programme (HL + EFAL), Tablets</t>
  </si>
  <si>
    <t>Notes and Comments</t>
  </si>
  <si>
    <t>Provision of structured, sequenced, lesson plans and additional LTSM in the HL only with quarterly teacher training and monthly in-person coaching support</t>
  </si>
  <si>
    <t>Provision of structured, sequenced, lesson plans and additional LTSM in the HL only with quarterly teacher training and monthly virtual coaching support</t>
  </si>
  <si>
    <t>Provision of structured, sequenced, lesson plans and additional LTSM in the HL only with quarterly teacher training and external coaching of DHs who support and coach teachers</t>
  </si>
  <si>
    <t>Provision of structured, sequenced, lesson plans and additional LTSM in the HL and EFAL with quarterly teacher training and monthly in-person coaching support</t>
  </si>
  <si>
    <t>Provision of structured, sequenced, lesson plans and additional LTSM in the HL and EFAL with quarterly teacher training and monthly virtual coaching support</t>
  </si>
  <si>
    <t>Provision of structured, sequenced, lesson plans and additional LTSM in the HL and EFAL with quarterly teacher training and external coaching of DHs who support and coach teachers</t>
  </si>
  <si>
    <t>Which grades will be enrolled into the programme?</t>
  </si>
  <si>
    <t>Grade 1</t>
  </si>
  <si>
    <t>Yes</t>
  </si>
  <si>
    <t>Default to implement across the Foundation Phase at school in Grades 1 - 3</t>
  </si>
  <si>
    <t>Grade 2</t>
  </si>
  <si>
    <t>Grade 3</t>
  </si>
  <si>
    <t xml:space="preserve">Total number of grades on the programme </t>
  </si>
  <si>
    <t>Home Language</t>
  </si>
  <si>
    <t>HL &amp; EFAL</t>
  </si>
  <si>
    <t>No</t>
  </si>
  <si>
    <t>On-site (External)</t>
  </si>
  <si>
    <t>Virtual (External)</t>
  </si>
  <si>
    <t>DH on-site (Internal)</t>
  </si>
  <si>
    <t>Number chosen, so that the programme would reach about 1000 teachers per language per year.</t>
  </si>
  <si>
    <t>DHs-DH Coach Ratio</t>
  </si>
  <si>
    <t>Teacher-DH Ratio</t>
  </si>
  <si>
    <t>Rough average in Feb and Mar 2025</t>
  </si>
  <si>
    <t>Materials Development and Review Assumptions</t>
  </si>
  <si>
    <t>How many consultant days are needed to develop materials for one Home Language?</t>
  </si>
  <si>
    <t>Over how many days should a validation workshop take place?</t>
  </si>
  <si>
    <t>How many attendees / participants, in total, should be present at each validation workshop?</t>
  </si>
  <si>
    <t>How many attendees / participants from outside of Gauteng?</t>
  </si>
  <si>
    <t>After how many years should materials be redeveloped?</t>
  </si>
  <si>
    <t>How many consultant days are needed to review materials for one Home Language?</t>
  </si>
  <si>
    <t>Over how many days should each review workshop take place?</t>
  </si>
  <si>
    <t>After how many years should materials be reviewed (periodic review)?</t>
  </si>
  <si>
    <t>English First Additional Language</t>
  </si>
  <si>
    <t>How many consultant days are needed to develop materials for one English First Additional Language?</t>
  </si>
  <si>
    <t>Over how many days should each validation workshop take place?</t>
  </si>
  <si>
    <t>How many consultant days are needed to review materials for one English First Additional Language?</t>
  </si>
  <si>
    <t>After how many years will materials be reviewed (periodic review)?</t>
  </si>
  <si>
    <t>Teacher Training Assumptions</t>
  </si>
  <si>
    <r>
      <rPr>
        <b/>
        <sz val="11"/>
        <color theme="1"/>
        <rFont val="Calibri"/>
        <family val="2"/>
        <scheme val="minor"/>
      </rPr>
      <t>Per training session</t>
    </r>
    <r>
      <rPr>
        <sz val="11"/>
        <color theme="1"/>
        <rFont val="Calibri"/>
        <family val="2"/>
        <scheme val="minor"/>
      </rPr>
      <t>, how many teachers per trainer (only applicable to externally led training)?</t>
    </r>
  </si>
  <si>
    <t>What % of trainers days in addition to coaches for training (if teacher coaching is taking place)?</t>
  </si>
  <si>
    <r>
      <t xml:space="preserve">How many days initial training (external)? </t>
    </r>
    <r>
      <rPr>
        <b/>
        <sz val="11"/>
        <color theme="1"/>
        <rFont val="Calibri"/>
        <family val="2"/>
        <scheme val="minor"/>
      </rPr>
      <t>[2-day or more assumes residential]</t>
    </r>
  </si>
  <si>
    <t>How many of these initial training sessions are there in the year (external)?</t>
  </si>
  <si>
    <r>
      <t xml:space="preserve">How many days for smaller / quarterly training (external)? </t>
    </r>
    <r>
      <rPr>
        <b/>
        <sz val="11"/>
        <color theme="1"/>
        <rFont val="Calibri"/>
        <family val="2"/>
        <scheme val="minor"/>
      </rPr>
      <t>[2-day or more assumes residential]</t>
    </r>
  </si>
  <si>
    <t>How many of these smaller / quarterly training sessions are there in the year (external)?</t>
  </si>
  <si>
    <r>
      <t xml:space="preserve">How many days of smaller/ non-residential training (internally-led)? </t>
    </r>
    <r>
      <rPr>
        <b/>
        <sz val="11"/>
        <color theme="1"/>
        <rFont val="Calibri"/>
        <family val="2"/>
        <scheme val="minor"/>
      </rPr>
      <t>[1-day maximum]</t>
    </r>
  </si>
  <si>
    <t>How many of these smaller/ non-residential training sessions are there in the year (internally-led)?</t>
  </si>
  <si>
    <t>External Coaching (In person and virtual)</t>
  </si>
  <si>
    <t>HR Assumptions (incl. ratios)</t>
  </si>
  <si>
    <t>How many coaches per Head Coach / Master Trainer (only applicable to external model)?</t>
  </si>
  <si>
    <t>What % of master trainers days in addition to head coaches for training ?</t>
  </si>
  <si>
    <t>How many years (on average) do coaches stay with the programme?</t>
  </si>
  <si>
    <t xml:space="preserve">Assumption, projects have generally only lasted 3 years, but often rehire same coaches. </t>
  </si>
  <si>
    <t>After how many years do coach laptops and tech get replaced?</t>
  </si>
  <si>
    <r>
      <t xml:space="preserve">How many days of </t>
    </r>
    <r>
      <rPr>
        <b/>
        <sz val="11"/>
        <color theme="1"/>
        <rFont val="Calibri"/>
        <family val="2"/>
        <scheme val="minor"/>
      </rPr>
      <t>initial training</t>
    </r>
    <r>
      <rPr>
        <sz val="11"/>
        <color theme="1"/>
        <rFont val="Calibri"/>
        <family val="2"/>
        <scheme val="minor"/>
      </rPr>
      <t xml:space="preserve"> should new coaches (external &amp; internal) get? </t>
    </r>
    <r>
      <rPr>
        <b/>
        <sz val="11"/>
        <color theme="1"/>
        <rFont val="Calibri"/>
        <family val="2"/>
        <scheme val="minor"/>
      </rPr>
      <t>[2-day or more assumes residential]</t>
    </r>
  </si>
  <si>
    <r>
      <t xml:space="preserve">How many days of training should coaches / trainers get </t>
    </r>
    <r>
      <rPr>
        <b/>
        <sz val="11"/>
        <color theme="1"/>
        <rFont val="Calibri"/>
        <family val="2"/>
        <scheme val="minor"/>
      </rPr>
      <t>per quarter</t>
    </r>
    <r>
      <rPr>
        <sz val="11"/>
        <color theme="1"/>
        <rFont val="Calibri"/>
        <family val="2"/>
        <scheme val="minor"/>
      </rPr>
      <t xml:space="preserve">? </t>
    </r>
    <r>
      <rPr>
        <b/>
        <sz val="11"/>
        <color theme="1"/>
        <rFont val="Calibri"/>
        <family val="2"/>
        <scheme val="minor"/>
      </rPr>
      <t xml:space="preserve"> [2-day or more assumes residential]</t>
    </r>
  </si>
  <si>
    <t>How many DH coaches per Head Coach (external coaches to support internal model)?</t>
  </si>
  <si>
    <t>After how many years do DH coach laptops and tech get replaced?</t>
  </si>
  <si>
    <t>Train-the-DH (Additional training) Assumptions</t>
  </si>
  <si>
    <r>
      <rPr>
        <b/>
        <sz val="11"/>
        <color theme="1"/>
        <rFont val="Calibri"/>
        <family val="2"/>
        <scheme val="minor"/>
      </rPr>
      <t>Per training session</t>
    </r>
    <r>
      <rPr>
        <sz val="11"/>
        <color theme="1"/>
        <rFont val="Calibri"/>
        <family val="2"/>
        <scheme val="minor"/>
      </rPr>
      <t>, how many DHs per Coach/Master trainer (external, led by support coaches)?</t>
    </r>
  </si>
  <si>
    <r>
      <t>How many days for smaller/ quarterly training (external)?</t>
    </r>
    <r>
      <rPr>
        <b/>
        <sz val="11"/>
        <color theme="1"/>
        <rFont val="Calibri"/>
        <family val="2"/>
        <scheme val="minor"/>
      </rPr>
      <t xml:space="preserve"> [2-day or more assumes residential]</t>
    </r>
  </si>
  <si>
    <t>How many of these smaller/ quarterly training sessions are there in the year (external)?</t>
  </si>
  <si>
    <t>Component</t>
  </si>
  <si>
    <t>Activity</t>
  </si>
  <si>
    <t>Resource(s)</t>
  </si>
  <si>
    <t>Unit</t>
  </si>
  <si>
    <t>Quantity</t>
  </si>
  <si>
    <t>Cost per unit (in 2020 ZAR)</t>
  </si>
  <si>
    <t>Cost per Unit (Est 2025 ZAR)</t>
  </si>
  <si>
    <t>Driver</t>
  </si>
  <si>
    <t>Source</t>
  </si>
  <si>
    <t>Materials Development and Review</t>
  </si>
  <si>
    <t>Materials review</t>
  </si>
  <si>
    <t>Develop / Review</t>
  </si>
  <si>
    <t>Consultant days</t>
  </si>
  <si>
    <t>Days</t>
  </si>
  <si>
    <t>Per day</t>
  </si>
  <si>
    <t>Materials not available for language</t>
  </si>
  <si>
    <t>Workshop</t>
  </si>
  <si>
    <t>Consultants per workshop</t>
  </si>
  <si>
    <t>Per consultants per workshop day</t>
  </si>
  <si>
    <t>Venue and catering</t>
  </si>
  <si>
    <t>Attendee</t>
  </si>
  <si>
    <t>Per attendee per day</t>
  </si>
  <si>
    <t>Number of attendees and workshop days</t>
  </si>
  <si>
    <t>NECT data</t>
  </si>
  <si>
    <t>Accommodation</t>
  </si>
  <si>
    <t>Attendee per night</t>
  </si>
  <si>
    <t>Per attendee per night</t>
  </si>
  <si>
    <t>New RSP budget</t>
  </si>
  <si>
    <t>Flights</t>
  </si>
  <si>
    <t>Attendee per workshop</t>
  </si>
  <si>
    <t>Per attendee per workshop</t>
  </si>
  <si>
    <t>Number of attendees outside GT</t>
  </si>
  <si>
    <t>Oxford budget</t>
  </si>
  <si>
    <t>Application</t>
  </si>
  <si>
    <t>Develop App</t>
  </si>
  <si>
    <t>Developer days</t>
  </si>
  <si>
    <t>Language</t>
  </si>
  <si>
    <t>Per language</t>
  </si>
  <si>
    <t>Need to add new subject / language</t>
  </si>
  <si>
    <t>EGRP budget</t>
  </si>
  <si>
    <t>Develop audio-visual materials</t>
  </si>
  <si>
    <t>Recording days</t>
  </si>
  <si>
    <t>EGRS 2 actuals</t>
  </si>
  <si>
    <t>Platform</t>
  </si>
  <si>
    <t>Access to platform</t>
  </si>
  <si>
    <t>Platform user fee</t>
  </si>
  <si>
    <t>Platform per year</t>
  </si>
  <si>
    <t>Per platform per annum</t>
  </si>
  <si>
    <t>Digital materials use (using tablets)</t>
  </si>
  <si>
    <t>Home Language Lesson Plans &amp; LTSM - Grade 1 OR Grade 2 OR Grade 3</t>
  </si>
  <si>
    <t>Lesson plan</t>
  </si>
  <si>
    <t>Materials provision</t>
  </si>
  <si>
    <t>Printing &amp; Delivery</t>
  </si>
  <si>
    <t>Lesson plan set per teacher</t>
  </si>
  <si>
    <t>Per Lesson plan set per teacher</t>
  </si>
  <si>
    <t>Number of teachers</t>
  </si>
  <si>
    <t>EGRP budget / NECT data request / Oxford budget</t>
  </si>
  <si>
    <t>LTSM</t>
  </si>
  <si>
    <t>Printing, Procuring &amp; Delivery</t>
  </si>
  <si>
    <t>LTSM set per teacher</t>
  </si>
  <si>
    <t>Per LTSM set per teacher</t>
  </si>
  <si>
    <t>English FAL Lesson Plans &amp; LTSM - Grade 1 OR Grade 2 OR Grade 3</t>
  </si>
  <si>
    <t>Tablets</t>
  </si>
  <si>
    <t>Purchase and deliver tablets</t>
  </si>
  <si>
    <t>Service provider</t>
  </si>
  <si>
    <t>Tablet</t>
  </si>
  <si>
    <t>Per tablet</t>
  </si>
  <si>
    <t>Purchase SIM / data package</t>
  </si>
  <si>
    <t>Network SIM card</t>
  </si>
  <si>
    <t>Data per tablet</t>
  </si>
  <si>
    <t>Data per tablet per year</t>
  </si>
  <si>
    <t>Number of tablets</t>
  </si>
  <si>
    <t>Recruitment</t>
  </si>
  <si>
    <t>Recruit full-time coaches</t>
  </si>
  <si>
    <t>Recruiter time</t>
  </si>
  <si>
    <t>Coach hired</t>
  </si>
  <si>
    <t>Per coach hired</t>
  </si>
  <si>
    <t>Recruitment agency</t>
  </si>
  <si>
    <t>Recruit part-time trainers</t>
  </si>
  <si>
    <t>Trainer hired</t>
  </si>
  <si>
    <t>Per trainer day</t>
  </si>
  <si>
    <t>Academic qualification</t>
  </si>
  <si>
    <t>Coaching course</t>
  </si>
  <si>
    <t>Train coaches</t>
  </si>
  <si>
    <t>Universities</t>
  </si>
  <si>
    <t>New coach</t>
  </si>
  <si>
    <t>Per new coach</t>
  </si>
  <si>
    <t>Number of new coaches</t>
  </si>
  <si>
    <t>Train-the-Trainer training</t>
  </si>
  <si>
    <t>Training (coaches and trainers)</t>
  </si>
  <si>
    <t>Conferencing</t>
  </si>
  <si>
    <t>Number of attendees</t>
  </si>
  <si>
    <t>Provide accommodation</t>
  </si>
  <si>
    <t>Accommodation (Breakfast &amp; Dinner)</t>
  </si>
  <si>
    <t>Salaries and professional fees</t>
  </si>
  <si>
    <t>Coaching</t>
  </si>
  <si>
    <t>Coaching days</t>
  </si>
  <si>
    <t>Person</t>
  </si>
  <si>
    <t>Per year</t>
  </si>
  <si>
    <t>Head coach salary</t>
  </si>
  <si>
    <t>Coach training / management*</t>
  </si>
  <si>
    <t>Coaching training / support* days</t>
  </si>
  <si>
    <t>Number of coaches</t>
  </si>
  <si>
    <t>Trainer professional fees</t>
  </si>
  <si>
    <t>Training teachers</t>
  </si>
  <si>
    <t>Part-time trainer days</t>
  </si>
  <si>
    <t>Trainer</t>
  </si>
  <si>
    <t>Per trainer per day</t>
  </si>
  <si>
    <t>Master trainer professional fees</t>
  </si>
  <si>
    <t>Training coaches and trainers</t>
  </si>
  <si>
    <t>Master trainer days</t>
  </si>
  <si>
    <t>Number of coaches / trainers</t>
  </si>
  <si>
    <t>EGRS 2 liquidation report</t>
  </si>
  <si>
    <t>Teacher training</t>
  </si>
  <si>
    <t>residential training (2-days or more)</t>
  </si>
  <si>
    <t>Teacher</t>
  </si>
  <si>
    <t>Per teacher per additional day of residential training</t>
  </si>
  <si>
    <t>2-day residential training</t>
  </si>
  <si>
    <t>Provide training</t>
  </si>
  <si>
    <t>Conferencing, catering, accommodation, conference pack</t>
  </si>
  <si>
    <t>Per teacher per 2-day residential session</t>
  </si>
  <si>
    <t>1-day additional residential training</t>
  </si>
  <si>
    <t>Per teacher per additional 1-day residential</t>
  </si>
  <si>
    <t>Calculated from cells above and below</t>
  </si>
  <si>
    <t>1-day training (Externally led)</t>
  </si>
  <si>
    <t>Conferencing, catering, conference pack</t>
  </si>
  <si>
    <t>Per teacher per 1-day session</t>
  </si>
  <si>
    <t>1-day training (Internally led)</t>
  </si>
  <si>
    <t>Catering</t>
  </si>
  <si>
    <t>Coaching monthly costs</t>
  </si>
  <si>
    <t>Communications</t>
  </si>
  <si>
    <t>Cell phone</t>
  </si>
  <si>
    <t>Coach per year</t>
  </si>
  <si>
    <t>Per coach per year</t>
  </si>
  <si>
    <t>Coach travel</t>
  </si>
  <si>
    <t>Rental Vehicle</t>
  </si>
  <si>
    <t>Travel to schools</t>
  </si>
  <si>
    <t>Petrol</t>
  </si>
  <si>
    <t>Virtual coaching</t>
  </si>
  <si>
    <t>Data</t>
  </si>
  <si>
    <t>Virtual coach per year</t>
  </si>
  <si>
    <t>Coaching once-off costs</t>
  </si>
  <si>
    <t>Perform tasks</t>
  </si>
  <si>
    <t>Laptop</t>
  </si>
  <si>
    <t>Once-off</t>
  </si>
  <si>
    <t>Number of new coaches/head coaches</t>
  </si>
  <si>
    <t>Number of Participants (Annual)</t>
  </si>
  <si>
    <t>Schools</t>
  </si>
  <si>
    <t>Teachers</t>
  </si>
  <si>
    <t>Learners</t>
  </si>
  <si>
    <t>Coaches</t>
  </si>
  <si>
    <t>Head Coach / Master Trainer</t>
  </si>
  <si>
    <t>Departmental Heads</t>
  </si>
  <si>
    <t>External support coaches for the Department Heads</t>
  </si>
  <si>
    <t>Head Support Coach / Master Trainer</t>
  </si>
  <si>
    <t>Base Programme Cost</t>
  </si>
  <si>
    <t>Material Initial Development (every 12 years)</t>
  </si>
  <si>
    <t>Description</t>
  </si>
  <si>
    <t>Total cost</t>
  </si>
  <si>
    <t>Cost Included (for this version)</t>
  </si>
  <si>
    <t>Anualised cost</t>
  </si>
  <si>
    <t>Level of the Cost</t>
  </si>
  <si>
    <t>Develop HL materials</t>
  </si>
  <si>
    <t>All coaches/teachers</t>
  </si>
  <si>
    <t>Validation Workshop HL - Common costs (GP and fly-ins)</t>
  </si>
  <si>
    <t>Validation Workshop HL - Fly-in's only costs</t>
  </si>
  <si>
    <t>Develop EFAL materials</t>
  </si>
  <si>
    <t>Validation Workshop EFAL - Common costs (GP and fly-ins)</t>
  </si>
  <si>
    <t>Material Review (Every 3 years, except for the initial development year)</t>
  </si>
  <si>
    <t>Review HL materials</t>
  </si>
  <si>
    <t>Review EFAL materials</t>
  </si>
  <si>
    <t>Platform Access (Tablets Only)</t>
  </si>
  <si>
    <t>Develop App (HL)</t>
  </si>
  <si>
    <t>Material provision: LTSM (Physical and Tablet)</t>
  </si>
  <si>
    <t>LTSM (HL)</t>
  </si>
  <si>
    <t>per Teacher</t>
  </si>
  <si>
    <t>LTSM (EFAL)</t>
  </si>
  <si>
    <t>Material provision: Lesson Plan (Physical Only)</t>
  </si>
  <si>
    <t>Lesson plan (HL)</t>
  </si>
  <si>
    <t>Lesson plan (EFAL)</t>
  </si>
  <si>
    <t>Material (App) provision: Tables and Data (Tablet Only)</t>
  </si>
  <si>
    <t>Initial teacher training (external): Conference and catering costs</t>
  </si>
  <si>
    <t>Initial teacher training (external): Accommodation</t>
  </si>
  <si>
    <t>Teacher trainings, smaller / quarterly (external): Conference &amp; catering</t>
  </si>
  <si>
    <t>Teacher trainings, smaller / quarterly (external): Accommodation</t>
  </si>
  <si>
    <t xml:space="preserve">Teacher attendance cost: Other training (internal, non-residential) </t>
  </si>
  <si>
    <t>Trainer costs (only at 25% if there is coaching)</t>
  </si>
  <si>
    <t>&lt;&lt; If there is coaching, the coaches act as trainers, but also additional trainers hired to assist (25% additional capacity)</t>
  </si>
  <si>
    <t>Coaching Cost</t>
  </si>
  <si>
    <t>Coaching Costs (External and Virtual)</t>
  </si>
  <si>
    <t>Coach recruitment (Once off per new coach)</t>
  </si>
  <si>
    <t>Recruitment costs per coach</t>
  </si>
  <si>
    <t>Per coach</t>
  </si>
  <si>
    <t>Materials and tech set-up costs per coach (Laptop)</t>
  </si>
  <si>
    <t>Formal Courses for Coaches</t>
  </si>
  <si>
    <t>Coach Onboarding Training: Catering, Venue</t>
  </si>
  <si>
    <t>Coach Onboarding Training: Accommodation</t>
  </si>
  <si>
    <t>Coach Onboarding Training: Master Trainer costs</t>
  </si>
  <si>
    <t>Running costs (External)</t>
  </si>
  <si>
    <t>Coach salaries</t>
  </si>
  <si>
    <t>Head Coach Salary</t>
  </si>
  <si>
    <t>Coach Communications (Cell phone)</t>
  </si>
  <si>
    <t>Quarterly Coach Training: Catering, Venue</t>
  </si>
  <si>
    <t>Quarterly Coach Training: Accommodation</t>
  </si>
  <si>
    <t>Quarterly Coach Training: Master Trainer costs</t>
  </si>
  <si>
    <t>Operational Costs: In person (external)</t>
  </si>
  <si>
    <t>Coach travel (Rental car)</t>
  </si>
  <si>
    <t>&lt;&lt;Needs to change for DH and Virtual</t>
  </si>
  <si>
    <t>Travel to schools (petrol)</t>
  </si>
  <si>
    <t>Operational Costs: Virtual (external)</t>
  </si>
  <si>
    <t>Virtual coaching (Data costs)</t>
  </si>
  <si>
    <t>Coaching Costs (DH model)</t>
  </si>
  <si>
    <t>Recruitment costs per DH coach</t>
  </si>
  <si>
    <t>Per coach (DH)</t>
  </si>
  <si>
    <t>Materials and tech set-up costs per DH coach (Laptop)</t>
  </si>
  <si>
    <t>DH Coach Initial Training: Catering, Venue</t>
  </si>
  <si>
    <t>DH Coach Initial Training: Accommodation</t>
  </si>
  <si>
    <t>DH Coach Initial Training: Master Trainer Costs</t>
  </si>
  <si>
    <t>Operational costs (External)</t>
  </si>
  <si>
    <t>DH coach salaries</t>
  </si>
  <si>
    <t>Head DH Coach Salary</t>
  </si>
  <si>
    <t>Smaller/Quarterly Coach Training: Catering, Venue</t>
  </si>
  <si>
    <t>Smaller/Quarterly Coach Training: Accommodation</t>
  </si>
  <si>
    <t>Smaller/Quarterly Coach Training: Master Trainer Costs</t>
  </si>
  <si>
    <t>Operational Costs: In person (external DH coach)</t>
  </si>
  <si>
    <t>DH Coach travel (Rental car)</t>
  </si>
  <si>
    <t>Running Costs: DH led (internal)</t>
  </si>
  <si>
    <t>Extra DH training (Initial)</t>
  </si>
  <si>
    <t>Extra DH training (Smaller training/quarterly)</t>
  </si>
  <si>
    <t>Total Programme Costs</t>
  </si>
  <si>
    <t>per Coach</t>
  </si>
  <si>
    <t>per DH Coach</t>
  </si>
  <si>
    <t>TOTAL COST (ZAR)</t>
  </si>
  <si>
    <t>per Learner</t>
  </si>
  <si>
    <t>TOTAL COST (USD)</t>
  </si>
  <si>
    <t>Province</t>
  </si>
  <si>
    <t>Percentage</t>
  </si>
  <si>
    <t>Cover_years</t>
  </si>
  <si>
    <t>Answer</t>
  </si>
  <si>
    <t>Annual_training</t>
  </si>
  <si>
    <t>2DayTraining</t>
  </si>
  <si>
    <t>1DayTraining</t>
  </si>
  <si>
    <t>Languages</t>
  </si>
  <si>
    <t>Development days</t>
  </si>
  <si>
    <t>Workshop days</t>
  </si>
  <si>
    <t>Attendees</t>
  </si>
  <si>
    <t>Years</t>
  </si>
  <si>
    <t>Inflation</t>
  </si>
  <si>
    <t>Small percentage</t>
  </si>
  <si>
    <t>HeadCoachRatio</t>
  </si>
  <si>
    <t>Cover_district</t>
  </si>
  <si>
    <t>Funders</t>
  </si>
  <si>
    <t>CoachingProgStart</t>
  </si>
  <si>
    <t>Percentage_zero</t>
  </si>
  <si>
    <t>Subjects</t>
  </si>
  <si>
    <t>TrainingConducted</t>
  </si>
  <si>
    <t>SubjectAdvisorsProvs</t>
  </si>
  <si>
    <t>Weeks</t>
  </si>
  <si>
    <t>CoachingType</t>
  </si>
  <si>
    <t>Eastern Cape</t>
  </si>
  <si>
    <t>On-site</t>
  </si>
  <si>
    <t>One district at a time</t>
  </si>
  <si>
    <t>National</t>
  </si>
  <si>
    <t>Same year as Base Package</t>
  </si>
  <si>
    <t>Internally</t>
  </si>
  <si>
    <t>Free State</t>
  </si>
  <si>
    <t>Virtual</t>
  </si>
  <si>
    <t>All districts at once</t>
  </si>
  <si>
    <t>1 year after Base Package commences</t>
  </si>
  <si>
    <t>Externally</t>
  </si>
  <si>
    <t>Gauteng</t>
  </si>
  <si>
    <t>Blended</t>
  </si>
  <si>
    <t>ETDP-SETA</t>
  </si>
  <si>
    <t>2 years after Base Package commences</t>
  </si>
  <si>
    <t>KwaZulu-Natal</t>
  </si>
  <si>
    <t>EPWP</t>
  </si>
  <si>
    <t>3 years after Base Package commences</t>
  </si>
  <si>
    <t>Limpopo</t>
  </si>
  <si>
    <t>Unions</t>
  </si>
  <si>
    <t>4 years after Base Package commences</t>
  </si>
  <si>
    <t>Mpumalanga</t>
  </si>
  <si>
    <t>Donors</t>
  </si>
  <si>
    <t>5 years after Base Package commences</t>
  </si>
  <si>
    <t>North West</t>
  </si>
  <si>
    <t>Northern Cape</t>
  </si>
  <si>
    <t>Western Cape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</si>
  <si>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</si>
  <si>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</si>
  <si>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</si>
  <si>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</si>
  <si>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</si>
  <si>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</si>
  <si>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</si>
  <si>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</si>
  <si>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</si>
  <si>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</si>
  <si>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</si>
  <si>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</si>
  <si>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Average</t>
  </si>
  <si>
    <t>(Numbers in blue are forecasts)</t>
  </si>
  <si>
    <t>&lt;&lt; Own Calculation, set inflation in Dec = Nov</t>
  </si>
  <si>
    <t>&lt;&lt; NATIONAL TREASURY 2024 MTBPS (pg. 2)</t>
  </si>
  <si>
    <t>National School Nutrition Programme Grant</t>
  </si>
  <si>
    <t>2024/25</t>
  </si>
  <si>
    <t>2025/26</t>
  </si>
  <si>
    <t>2026/27</t>
  </si>
  <si>
    <t>TOTAL</t>
  </si>
  <si>
    <t>In current prices</t>
  </si>
  <si>
    <t>-</t>
  </si>
  <si>
    <t>In 2025/26 Rands</t>
  </si>
  <si>
    <t>CPI</t>
  </si>
  <si>
    <t>Index (100 in 2025/26)</t>
  </si>
  <si>
    <t xml:space="preserve">Source: </t>
  </si>
  <si>
    <t>MTBPS 2024</t>
  </si>
  <si>
    <t>School Nutrition from Schedule 5A</t>
  </si>
  <si>
    <t>https://view.officeapps.live.com/op/view.aspx?src=https%3A%2F%2Fwww.treasury.gov.za%2Fdocuments%2Fnational%2520budget%2F2024%2F2024%2520Division%2520of%2520Revenue%2520Bill%2520Schedules%2520in%2520Excel%2520format.xlsx&amp;wdOrigin=BROWSELINK</t>
  </si>
  <si>
    <t>Conversions into USD</t>
  </si>
  <si>
    <t>ZAR (in 2025)</t>
  </si>
  <si>
    <t>USD</t>
  </si>
  <si>
    <t>EGRS Programme Cost at scale</t>
  </si>
  <si>
    <t>School Nutrition Programme Cost</t>
  </si>
  <si>
    <t>Exchange rate (USD in ZAR))</t>
  </si>
  <si>
    <t>Conversion factor - bn</t>
  </si>
  <si>
    <t>Prov #</t>
  </si>
  <si>
    <t>District</t>
  </si>
  <si>
    <t>Quintile</t>
  </si>
  <si>
    <t>Grade</t>
  </si>
  <si>
    <t>Learners 2017</t>
  </si>
  <si>
    <t>LE ratio</t>
  </si>
  <si>
    <t># Teachers</t>
  </si>
  <si>
    <t># of schools</t>
  </si>
  <si>
    <t>Quintile included</t>
  </si>
  <si>
    <t>Grade included</t>
  </si>
  <si>
    <t>Alfred Nzo East</t>
  </si>
  <si>
    <t>Alfred Nzo West</t>
  </si>
  <si>
    <t>Amathole East</t>
  </si>
  <si>
    <t>Amathole West</t>
  </si>
  <si>
    <t>Buffalo City</t>
  </si>
  <si>
    <t>Chris Hani East</t>
  </si>
  <si>
    <t>Chris Hani West</t>
  </si>
  <si>
    <t>Joe Gqabi</t>
  </si>
  <si>
    <t>Nelson Mandela</t>
  </si>
  <si>
    <t>O R Tambo Coastal</t>
  </si>
  <si>
    <t>O R Tambo Inland</t>
  </si>
  <si>
    <t>Sarah Baartman</t>
  </si>
  <si>
    <t>Fezile Dabi</t>
  </si>
  <si>
    <t>Lejweleputswa</t>
  </si>
  <si>
    <t>Motheo</t>
  </si>
  <si>
    <t>Thabo Mofutsanyana</t>
  </si>
  <si>
    <t>Xhariep</t>
  </si>
  <si>
    <t>Ekurhuleni North</t>
  </si>
  <si>
    <t>Ekurhuleni South</t>
  </si>
  <si>
    <t>Gauteng East</t>
  </si>
  <si>
    <t>Gauteng North</t>
  </si>
  <si>
    <t>Gauteng West</t>
  </si>
  <si>
    <t>Johannesburg Central</t>
  </si>
  <si>
    <t>Johannesburg East</t>
  </si>
  <si>
    <t>Johannesburg North</t>
  </si>
  <si>
    <t>Johannesburg South</t>
  </si>
  <si>
    <t>Johannesburg West</t>
  </si>
  <si>
    <t>Sedibeng East</t>
  </si>
  <si>
    <t>Sedibeng West</t>
  </si>
  <si>
    <t>Tshwane North</t>
  </si>
  <si>
    <t>Tshwane South</t>
  </si>
  <si>
    <t>Tshwane West</t>
  </si>
  <si>
    <t>Kwa-Zulu Natal</t>
  </si>
  <si>
    <t>Amajuba</t>
  </si>
  <si>
    <t>Harry Gwala</t>
  </si>
  <si>
    <t>Ilembe</t>
  </si>
  <si>
    <t>King Cetshwayo</t>
  </si>
  <si>
    <t>Pinetown</t>
  </si>
  <si>
    <t>Ugu</t>
  </si>
  <si>
    <t>Umgungundlovu</t>
  </si>
  <si>
    <t>Umkhanyakude</t>
  </si>
  <si>
    <t>Umlazi</t>
  </si>
  <si>
    <t>Umzinyathi</t>
  </si>
  <si>
    <t>Uthukela</t>
  </si>
  <si>
    <t>Zululand</t>
  </si>
  <si>
    <t>Capricorn</t>
  </si>
  <si>
    <t>Greater Sekhukhune</t>
  </si>
  <si>
    <t>Mopani</t>
  </si>
  <si>
    <t>Vhembe</t>
  </si>
  <si>
    <t>Waterberg</t>
  </si>
  <si>
    <t>Bohlabela</t>
  </si>
  <si>
    <t>Ehlanzeni</t>
  </si>
  <si>
    <t>Gert Sibande</t>
  </si>
  <si>
    <t>Nkangala</t>
  </si>
  <si>
    <t>Bojanala</t>
  </si>
  <si>
    <t>Dr Kenneth Kaunda</t>
  </si>
  <si>
    <t>Dr Ruth S Mompati</t>
  </si>
  <si>
    <t>Ngaka Modiri Molema</t>
  </si>
  <si>
    <t>Frances Baard</t>
  </si>
  <si>
    <t>John Taolo Gaetsewe</t>
  </si>
  <si>
    <t>Namakwa</t>
  </si>
  <si>
    <t>Pixley Ka Seme</t>
  </si>
  <si>
    <t>Zf Mgcawu</t>
  </si>
  <si>
    <t>Cape Winelands</t>
  </si>
  <si>
    <t>Eden And Central Karoo</t>
  </si>
  <si>
    <t>Metro Central</t>
  </si>
  <si>
    <t>Metro East</t>
  </si>
  <si>
    <t>Metro North</t>
  </si>
  <si>
    <t>Metro South</t>
  </si>
  <si>
    <t>Overberg</t>
  </si>
  <si>
    <t>West Coast</t>
  </si>
  <si>
    <t>Column Labels</t>
  </si>
  <si>
    <t>Total Sum of # Teachers</t>
  </si>
  <si>
    <t>Total Sum of # of schools</t>
  </si>
  <si>
    <t>Row Labels</t>
  </si>
  <si>
    <t>Sum of # Teachers</t>
  </si>
  <si>
    <t>Sum of # of schools</t>
  </si>
  <si>
    <t>Grand Total</t>
  </si>
  <si>
    <t>Average for Grade in Q1-3</t>
  </si>
  <si>
    <t>Average of LE ratio</t>
  </si>
  <si>
    <t>Source: DNA Economics (2020). Analysis of the financial implication of scaling an early grade reading programme in South Africa: Final draft. Pretoria</t>
  </si>
  <si>
    <t>External</t>
  </si>
  <si>
    <t>Hybrid</t>
  </si>
  <si>
    <t>Internal</t>
  </si>
  <si>
    <t>In 2020 Rands</t>
  </si>
  <si>
    <t>In 2025 Rands</t>
  </si>
  <si>
    <t>Coach Onboarding Training: Master Trainer Costs</t>
  </si>
  <si>
    <t>Quarterly Coach Training: Master Trainer Costs</t>
  </si>
  <si>
    <t>Travel to schools (Petrol)</t>
  </si>
  <si>
    <t>Validation Workshop EFAL - Fly-ins only costs</t>
  </si>
  <si>
    <t xml:space="preserve">Provision of structured, sequenced, lesson plans on tablet and additional LTSM in the HL with quarterly teacher training </t>
  </si>
  <si>
    <t xml:space="preserve">Provision of structured, sequenced, lesson plans on tablets and additional LTSM in the HL and EFAL with quarterly teacher training </t>
  </si>
  <si>
    <t>Provision of structured, sequenced, lesson plans and additional LTSM in the HL and EFAL with quarterly teacher training</t>
  </si>
  <si>
    <t xml:space="preserve">Once every 12 years. Cycle in which develop, update three times and then redevelop 12 years later </t>
  </si>
  <si>
    <t>Aligns with the LTSM policy, where schools can update materials every 3 years.</t>
  </si>
  <si>
    <t>Based on numbers in EGRS &amp; EGRP programmes (For comparison, about 2.4 in SNAP 2020)</t>
  </si>
  <si>
    <t>Assume a laptop lasts 5 years.</t>
  </si>
  <si>
    <t>Coach salary</t>
  </si>
  <si>
    <t>EGRP 2 actuals (2024)</t>
  </si>
  <si>
    <t>Use Treasury guidelines (1 April 2025) for a 3-star guesthouse room with breakfast and separate dinner</t>
  </si>
  <si>
    <t>Validation Workshop HL - Fly-ins only costs</t>
  </si>
  <si>
    <t>&lt;&lt; If there is coaching, the coaches act as trainers, but also additional trainers hired to assist (25% additional capacity).</t>
  </si>
  <si>
    <t>Coach Salaries</t>
  </si>
  <si>
    <t>per Coach (DH)</t>
  </si>
  <si>
    <t>Per Coach</t>
  </si>
  <si>
    <t>Per Coach (DH)</t>
  </si>
  <si>
    <t>DH coach Salaries</t>
  </si>
  <si>
    <t>External Ratio</t>
  </si>
  <si>
    <t>Hybrid Ratio</t>
  </si>
  <si>
    <t>EGRP budget (Updated with CellC 365 days bundle 30 GB @ 899 in 2025)</t>
  </si>
  <si>
    <t>Unit of the Cost</t>
  </si>
  <si>
    <t xml:space="preserve">Lesson Plans + Additional LTSM (consists of items such as Graded Readers, Big Books, Phonics Friezes, Flashcards, Writing Frames etc). </t>
  </si>
  <si>
    <t>How many years do teachers attend programme (materials and tech provided once)</t>
  </si>
  <si>
    <t>LTSM Materials &amp; Tablet Replacement Assumptions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</si>
</sst>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R&quot;#,##0;[Red]\-&quot;R&quot;#,##0"/>
    <numFmt numFmtId="8" formatCode="&quot;R&quot;#,##0.00;[Red]\-&quot;R&quot;#,##0.00"/>
    <numFmt numFmtId="164" formatCode="0.0"/>
    <numFmt numFmtId="165" formatCode="&quot;R&quot;#,##0.00"/>
    <numFmt numFmtId="166" formatCode="[$$-409]#,##0.00"/>
    <numFmt numFmtId="167" formatCode="#\ ###\ ###\ ##0_)\ ;\(#\ ###\ ###\ ##0\)\ ;_ * &quot;-&quot;_)\ ;_ @_ "/>
    <numFmt numFmtId="168" formatCode="0.0%"/>
    <numFmt numFmtId="169" formatCode="[$$-409]#,##0_ ;[Red]\-[$$-409]#,##0\ 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theme="5" tint="0.7999816888943144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2"/>
      <color rgb="FF222222"/>
      <name val="Arial"/>
      <family val="2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1"/>
      <color rgb="FF00B0F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 tint="0.499984740745262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sz val="9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rgb="FF00B0F0"/>
      <name val="Calibri"/>
      <family val="2"/>
      <scheme val="minor"/>
    </font>
    <font>
      <b/>
      <sz val="11"/>
      <color rgb="FF5C2A0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1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theme="0" tint="-0.14996795556505021"/>
      </bottom>
      <diagonal/>
    </border>
  </borders>
  <cellStyleXfs count="3">
    <xf numFmtId="0" fontId="0" fillId="0" borderId="0"/>
    <xf numFmtId="0" fontId="16" fillId="0" borderId="0"/>
    <xf numFmtId="0" fontId="19" fillId="0" borderId="0" applyNumberFormat="0" applyFill="0" applyBorder="0" applyAlignment="0" applyProtection="0"/>
  </cellStyleXfs>
  <cellXfs count="188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8" fontId="0" fillId="3" borderId="0" xfId="0" applyNumberFormat="1" applyFill="1"/>
    <xf numFmtId="9" fontId="0" fillId="3" borderId="0" xfId="0" applyNumberFormat="1" applyFill="1"/>
    <xf numFmtId="6" fontId="0" fillId="3" borderId="0" xfId="0" applyNumberFormat="1" applyFill="1"/>
    <xf numFmtId="0" fontId="0" fillId="3" borderId="1" xfId="0" applyFill="1" applyBorder="1"/>
    <xf numFmtId="0" fontId="2" fillId="5" borderId="0" xfId="0" applyFont="1" applyFill="1" applyAlignment="1">
      <alignment horizontal="centerContinuous"/>
    </xf>
    <xf numFmtId="164" fontId="0" fillId="0" borderId="0" xfId="0" applyNumberFormat="1"/>
    <xf numFmtId="2" fontId="0" fillId="0" borderId="0" xfId="0" applyNumberFormat="1"/>
    <xf numFmtId="0" fontId="4" fillId="0" borderId="0" xfId="0" applyFont="1"/>
    <xf numFmtId="0" fontId="1" fillId="0" borderId="0" xfId="0" applyFont="1"/>
    <xf numFmtId="0" fontId="1" fillId="3" borderId="2" xfId="0" applyFont="1" applyFill="1" applyBorder="1"/>
    <xf numFmtId="0" fontId="0" fillId="3" borderId="3" xfId="0" applyFill="1" applyBorder="1"/>
    <xf numFmtId="2" fontId="0" fillId="3" borderId="3" xfId="0" applyNumberFormat="1" applyFill="1" applyBorder="1"/>
    <xf numFmtId="1" fontId="0" fillId="3" borderId="0" xfId="0" applyNumberFormat="1" applyFill="1"/>
    <xf numFmtId="0" fontId="5" fillId="4" borderId="0" xfId="0" applyFont="1" applyFill="1" applyAlignment="1">
      <alignment horizontal="centerContinuous"/>
    </xf>
    <xf numFmtId="0" fontId="5" fillId="5" borderId="0" xfId="0" applyFont="1" applyFill="1" applyAlignment="1">
      <alignment horizontal="centerContinuous"/>
    </xf>
    <xf numFmtId="0" fontId="6" fillId="2" borderId="0" xfId="0" applyFont="1" applyFill="1"/>
    <xf numFmtId="0" fontId="0" fillId="0" borderId="4" xfId="0" applyBorder="1" applyAlignment="1">
      <alignment horizontal="left"/>
    </xf>
    <xf numFmtId="9" fontId="0" fillId="6" borderId="5" xfId="0" applyNumberFormat="1" applyFill="1" applyBorder="1" applyAlignment="1">
      <alignment horizontal="center"/>
    </xf>
    <xf numFmtId="0" fontId="1" fillId="7" borderId="6" xfId="0" applyFont="1" applyFill="1" applyBorder="1"/>
    <xf numFmtId="0" fontId="1" fillId="7" borderId="7" xfId="0" applyFont="1" applyFill="1" applyBorder="1"/>
    <xf numFmtId="15" fontId="1" fillId="7" borderId="6" xfId="0" applyNumberFormat="1" applyFont="1" applyFill="1" applyBorder="1"/>
    <xf numFmtId="15" fontId="1" fillId="7" borderId="8" xfId="0" applyNumberFormat="1" applyFont="1" applyFill="1" applyBorder="1"/>
    <xf numFmtId="0" fontId="1" fillId="7" borderId="8" xfId="0" applyFont="1" applyFill="1" applyBorder="1"/>
    <xf numFmtId="0" fontId="1" fillId="7" borderId="0" xfId="0" applyFont="1" applyFill="1"/>
    <xf numFmtId="0" fontId="0" fillId="7" borderId="0" xfId="0" applyFill="1"/>
    <xf numFmtId="0" fontId="0" fillId="7" borderId="3" xfId="0" applyFill="1" applyBorder="1"/>
    <xf numFmtId="9" fontId="0" fillId="7" borderId="3" xfId="0" applyNumberFormat="1" applyFill="1" applyBorder="1"/>
    <xf numFmtId="15" fontId="0" fillId="7" borderId="1" xfId="0" applyNumberFormat="1" applyFill="1" applyBorder="1"/>
    <xf numFmtId="0" fontId="0" fillId="7" borderId="1" xfId="0" applyFill="1" applyBorder="1"/>
    <xf numFmtId="0" fontId="0" fillId="7" borderId="9" xfId="0" applyFill="1" applyBorder="1"/>
    <xf numFmtId="15" fontId="0" fillId="7" borderId="10" xfId="0" applyNumberFormat="1" applyFill="1" applyBorder="1"/>
    <xf numFmtId="0" fontId="0" fillId="7" borderId="11" xfId="0" applyFill="1" applyBorder="1"/>
    <xf numFmtId="9" fontId="0" fillId="7" borderId="11" xfId="0" applyNumberFormat="1" applyFill="1" applyBorder="1"/>
    <xf numFmtId="0" fontId="2" fillId="8" borderId="4" xfId="0" applyFont="1" applyFill="1" applyBorder="1" applyAlignment="1">
      <alignment horizontal="centerContinuous"/>
    </xf>
    <xf numFmtId="0" fontId="2" fillId="8" borderId="12" xfId="0" applyFont="1" applyFill="1" applyBorder="1" applyAlignment="1">
      <alignment horizontal="centerContinuous"/>
    </xf>
    <xf numFmtId="0" fontId="0" fillId="0" borderId="8" xfId="0" applyBorder="1"/>
    <xf numFmtId="0" fontId="0" fillId="0" borderId="6" xfId="0" applyBorder="1"/>
    <xf numFmtId="0" fontId="0" fillId="0" borderId="1" xfId="0" applyBorder="1" applyAlignment="1">
      <alignment horizontal="left" indent="1"/>
    </xf>
    <xf numFmtId="0" fontId="0" fillId="6" borderId="3" xfId="0" applyFill="1" applyBorder="1" applyAlignment="1">
      <alignment horizontal="center"/>
    </xf>
    <xf numFmtId="0" fontId="0" fillId="0" borderId="10" xfId="0" applyBorder="1" applyAlignment="1">
      <alignment horizontal="left" indent="1"/>
    </xf>
    <xf numFmtId="0" fontId="0" fillId="6" borderId="11" xfId="0" applyFill="1" applyBorder="1" applyAlignment="1">
      <alignment horizontal="center"/>
    </xf>
    <xf numFmtId="0" fontId="2" fillId="9" borderId="1" xfId="0" applyFont="1" applyFill="1" applyBorder="1" applyAlignment="1">
      <alignment horizontal="centerContinuous"/>
    </xf>
    <xf numFmtId="0" fontId="2" fillId="9" borderId="7" xfId="0" applyFont="1" applyFill="1" applyBorder="1" applyAlignment="1">
      <alignment horizontal="centerContinuous"/>
    </xf>
    <xf numFmtId="0" fontId="0" fillId="0" borderId="1" xfId="0" applyBorder="1"/>
    <xf numFmtId="0" fontId="0" fillId="6" borderId="6" xfId="0" applyFill="1" applyBorder="1" applyAlignment="1">
      <alignment horizontal="center"/>
    </xf>
    <xf numFmtId="0" fontId="2" fillId="9" borderId="3" xfId="0" applyFont="1" applyFill="1" applyBorder="1" applyAlignment="1">
      <alignment horizontal="centerContinuous"/>
    </xf>
    <xf numFmtId="0" fontId="0" fillId="0" borderId="3" xfId="0" applyBorder="1"/>
    <xf numFmtId="6" fontId="0" fillId="0" borderId="0" xfId="0" applyNumberFormat="1"/>
    <xf numFmtId="0" fontId="0" fillId="0" borderId="10" xfId="0" applyBorder="1"/>
    <xf numFmtId="9" fontId="0" fillId="6" borderId="11" xfId="0" applyNumberFormat="1" applyFill="1" applyBorder="1" applyAlignment="1">
      <alignment horizontal="center"/>
    </xf>
    <xf numFmtId="0" fontId="0" fillId="0" borderId="13" xfId="0" applyBorder="1"/>
    <xf numFmtId="8" fontId="0" fillId="0" borderId="0" xfId="0" applyNumberFormat="1"/>
    <xf numFmtId="0" fontId="7" fillId="0" borderId="0" xfId="0" applyFont="1"/>
    <xf numFmtId="0" fontId="8" fillId="0" borderId="9" xfId="0" applyFont="1" applyBorder="1"/>
    <xf numFmtId="3" fontId="0" fillId="0" borderId="0" xfId="0" applyNumberFormat="1"/>
    <xf numFmtId="3" fontId="9" fillId="0" borderId="0" xfId="0" applyNumberFormat="1" applyFont="1"/>
    <xf numFmtId="0" fontId="1" fillId="0" borderId="4" xfId="0" applyFont="1" applyBorder="1"/>
    <xf numFmtId="0" fontId="5" fillId="0" borderId="3" xfId="0" applyFont="1" applyBorder="1" applyAlignment="1">
      <alignment horizontal="center"/>
    </xf>
    <xf numFmtId="0" fontId="0" fillId="10" borderId="0" xfId="0" applyFill="1"/>
    <xf numFmtId="8" fontId="0" fillId="10" borderId="0" xfId="0" applyNumberFormat="1" applyFill="1"/>
    <xf numFmtId="0" fontId="1" fillId="0" borderId="10" xfId="0" applyFont="1" applyBorder="1"/>
    <xf numFmtId="0" fontId="0" fillId="6" borderId="5" xfId="0" applyFill="1" applyBorder="1" applyAlignment="1">
      <alignment horizontal="center"/>
    </xf>
    <xf numFmtId="0" fontId="1" fillId="0" borderId="10" xfId="0" applyFont="1" applyBorder="1" applyAlignment="1">
      <alignment horizontal="left" indent="1"/>
    </xf>
    <xf numFmtId="0" fontId="0" fillId="0" borderId="0" xfId="0" applyAlignment="1">
      <alignment horizontal="left" indent="2"/>
    </xf>
    <xf numFmtId="0" fontId="0" fillId="0" borderId="9" xfId="0" applyBorder="1"/>
    <xf numFmtId="0" fontId="1" fillId="0" borderId="13" xfId="0" applyFont="1" applyBorder="1"/>
    <xf numFmtId="8" fontId="1" fillId="0" borderId="13" xfId="0" applyNumberFormat="1" applyFont="1" applyBorder="1"/>
    <xf numFmtId="8" fontId="1" fillId="0" borderId="9" xfId="0" applyNumberFormat="1" applyFont="1" applyBorder="1"/>
    <xf numFmtId="0" fontId="1" fillId="0" borderId="9" xfId="0" applyFont="1" applyBorder="1"/>
    <xf numFmtId="8" fontId="0" fillId="11" borderId="0" xfId="0" applyNumberFormat="1" applyFill="1"/>
    <xf numFmtId="0" fontId="0" fillId="11" borderId="0" xfId="0" applyFill="1"/>
    <xf numFmtId="8" fontId="0" fillId="7" borderId="3" xfId="0" applyNumberFormat="1" applyFill="1" applyBorder="1"/>
    <xf numFmtId="8" fontId="0" fillId="7" borderId="11" xfId="0" applyNumberFormat="1" applyFill="1" applyBorder="1"/>
    <xf numFmtId="8" fontId="0" fillId="6" borderId="5" xfId="0" applyNumberFormat="1" applyFill="1" applyBorder="1" applyAlignment="1">
      <alignment horizontal="center"/>
    </xf>
    <xf numFmtId="165" fontId="0" fillId="0" borderId="0" xfId="0" applyNumberFormat="1"/>
    <xf numFmtId="166" fontId="1" fillId="0" borderId="0" xfId="0" applyNumberFormat="1" applyFont="1"/>
    <xf numFmtId="166" fontId="1" fillId="0" borderId="9" xfId="0" applyNumberFormat="1" applyFont="1" applyBorder="1"/>
    <xf numFmtId="0" fontId="2" fillId="0" borderId="8" xfId="0" applyFont="1" applyBorder="1" applyAlignment="1">
      <alignment horizontal="centerContinuous"/>
    </xf>
    <xf numFmtId="0" fontId="11" fillId="0" borderId="8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0" fontId="12" fillId="0" borderId="8" xfId="0" applyFont="1" applyBorder="1" applyAlignment="1">
      <alignment horizontal="left" indent="1"/>
    </xf>
    <xf numFmtId="8" fontId="11" fillId="0" borderId="6" xfId="0" applyNumberFormat="1" applyFont="1" applyBorder="1" applyAlignment="1">
      <alignment horizontal="right"/>
    </xf>
    <xf numFmtId="0" fontId="2" fillId="0" borderId="5" xfId="0" applyFont="1" applyBorder="1" applyAlignment="1">
      <alignment horizontal="centerContinuous"/>
    </xf>
    <xf numFmtId="0" fontId="13" fillId="0" borderId="8" xfId="0" applyFont="1" applyBorder="1" applyAlignment="1">
      <alignment horizontal="left"/>
    </xf>
    <xf numFmtId="6" fontId="13" fillId="0" borderId="6" xfId="0" applyNumberFormat="1" applyFont="1" applyBorder="1" applyAlignment="1">
      <alignment horizontal="right"/>
    </xf>
    <xf numFmtId="6" fontId="12" fillId="0" borderId="6" xfId="0" applyNumberFormat="1" applyFont="1" applyBorder="1" applyAlignment="1">
      <alignment horizontal="right"/>
    </xf>
    <xf numFmtId="0" fontId="10" fillId="12" borderId="5" xfId="0" applyFont="1" applyFill="1" applyBorder="1" applyAlignment="1">
      <alignment horizontal="center"/>
    </xf>
    <xf numFmtId="0" fontId="10" fillId="12" borderId="11" xfId="0" applyFont="1" applyFill="1" applyBorder="1" applyAlignment="1">
      <alignment horizontal="center"/>
    </xf>
    <xf numFmtId="0" fontId="0" fillId="12" borderId="11" xfId="0" applyFill="1" applyBorder="1" applyAlignment="1">
      <alignment horizontal="center"/>
    </xf>
    <xf numFmtId="0" fontId="0" fillId="12" borderId="6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2" fillId="8" borderId="12" xfId="0" applyFont="1" applyFill="1" applyBorder="1" applyAlignment="1">
      <alignment horizontal="centerContinuous" wrapText="1"/>
    </xf>
    <xf numFmtId="0" fontId="18" fillId="0" borderId="0" xfId="0" applyFont="1"/>
    <xf numFmtId="0" fontId="15" fillId="13" borderId="0" xfId="0" applyFont="1" applyFill="1"/>
    <xf numFmtId="0" fontId="0" fillId="14" borderId="14" xfId="0" applyFill="1" applyBorder="1"/>
    <xf numFmtId="0" fontId="19" fillId="14" borderId="14" xfId="2" applyFill="1" applyBorder="1"/>
    <xf numFmtId="0" fontId="3" fillId="0" borderId="13" xfId="0" applyFont="1" applyBorder="1"/>
    <xf numFmtId="0" fontId="3" fillId="0" borderId="0" xfId="0" applyFont="1"/>
    <xf numFmtId="2" fontId="3" fillId="0" borderId="0" xfId="0" applyNumberFormat="1" applyFont="1"/>
    <xf numFmtId="167" fontId="17" fillId="0" borderId="0" xfId="1" applyNumberFormat="1" applyFont="1"/>
    <xf numFmtId="167" fontId="20" fillId="0" borderId="0" xfId="1" applyNumberFormat="1" applyFont="1"/>
    <xf numFmtId="0" fontId="15" fillId="13" borderId="0" xfId="0" applyFont="1" applyFill="1" applyAlignment="1">
      <alignment horizontal="right"/>
    </xf>
    <xf numFmtId="0" fontId="1" fillId="15" borderId="9" xfId="0" applyFont="1" applyFill="1" applyBorder="1"/>
    <xf numFmtId="0" fontId="2" fillId="16" borderId="0" xfId="0" applyFont="1" applyFill="1"/>
    <xf numFmtId="167" fontId="17" fillId="0" borderId="9" xfId="1" applyNumberFormat="1" applyFont="1" applyBorder="1"/>
    <xf numFmtId="0" fontId="15" fillId="16" borderId="0" xfId="0" applyFont="1" applyFill="1" applyAlignment="1">
      <alignment horizontal="center"/>
    </xf>
    <xf numFmtId="0" fontId="15" fillId="8" borderId="12" xfId="0" applyFont="1" applyFill="1" applyBorder="1" applyAlignment="1">
      <alignment horizontal="centerContinuous" wrapText="1"/>
    </xf>
    <xf numFmtId="0" fontId="24" fillId="14" borderId="15" xfId="0" applyFont="1" applyFill="1" applyBorder="1" applyAlignment="1">
      <alignment horizontal="left" vertical="center" wrapText="1"/>
    </xf>
    <xf numFmtId="0" fontId="2" fillId="8" borderId="4" xfId="0" applyFont="1" applyFill="1" applyBorder="1" applyAlignment="1">
      <alignment horizontal="left"/>
    </xf>
    <xf numFmtId="0" fontId="22" fillId="14" borderId="15" xfId="0" applyFont="1" applyFill="1" applyBorder="1" applyAlignment="1">
      <alignment horizontal="centerContinuous" vertical="center" wrapText="1"/>
    </xf>
    <xf numFmtId="0" fontId="23" fillId="0" borderId="0" xfId="0" applyFont="1" applyAlignment="1">
      <alignment vertical="center"/>
    </xf>
    <xf numFmtId="0" fontId="2" fillId="8" borderId="5" xfId="0" applyFont="1" applyFill="1" applyBorder="1" applyAlignment="1">
      <alignment horizontal="centerContinuous" wrapText="1"/>
    </xf>
    <xf numFmtId="0" fontId="25" fillId="17" borderId="5" xfId="0" applyFont="1" applyFill="1" applyBorder="1" applyAlignment="1">
      <alignment horizontal="centerContinuous" vertical="center" wrapText="1"/>
    </xf>
    <xf numFmtId="0" fontId="26" fillId="17" borderId="10" xfId="0" applyFont="1" applyFill="1" applyBorder="1" applyAlignment="1">
      <alignment horizontal="left" vertical="center" wrapText="1"/>
    </xf>
    <xf numFmtId="0" fontId="2" fillId="8" borderId="6" xfId="0" applyFont="1" applyFill="1" applyBorder="1" applyAlignment="1">
      <alignment horizontal="centerContinuous"/>
    </xf>
    <xf numFmtId="0" fontId="2" fillId="8" borderId="11" xfId="0" applyFont="1" applyFill="1" applyBorder="1" applyAlignment="1">
      <alignment horizontal="left"/>
    </xf>
    <xf numFmtId="0" fontId="27" fillId="14" borderId="6" xfId="0" applyFont="1" applyFill="1" applyBorder="1" applyAlignment="1">
      <alignment horizontal="left" vertical="center" wrapText="1"/>
    </xf>
    <xf numFmtId="0" fontId="11" fillId="14" borderId="6" xfId="0" applyFont="1" applyFill="1" applyBorder="1" applyAlignment="1">
      <alignment horizontal="left"/>
    </xf>
    <xf numFmtId="0" fontId="11" fillId="14" borderId="3" xfId="0" applyFont="1" applyFill="1" applyBorder="1" applyAlignment="1">
      <alignment horizontal="left"/>
    </xf>
    <xf numFmtId="0" fontId="28" fillId="14" borderId="5" xfId="0" applyFont="1" applyFill="1" applyBorder="1" applyAlignment="1">
      <alignment horizontal="left"/>
    </xf>
    <xf numFmtId="0" fontId="28" fillId="14" borderId="11" xfId="0" applyFont="1" applyFill="1" applyBorder="1" applyAlignment="1">
      <alignment horizontal="left"/>
    </xf>
    <xf numFmtId="0" fontId="11" fillId="14" borderId="5" xfId="0" applyFont="1" applyFill="1" applyBorder="1" applyAlignment="1">
      <alignment horizontal="left"/>
    </xf>
    <xf numFmtId="0" fontId="13" fillId="14" borderId="3" xfId="0" applyFont="1" applyFill="1" applyBorder="1" applyAlignment="1">
      <alignment horizontal="left"/>
    </xf>
    <xf numFmtId="9" fontId="11" fillId="14" borderId="11" xfId="0" applyNumberFormat="1" applyFont="1" applyFill="1" applyBorder="1" applyAlignment="1">
      <alignment horizontal="left"/>
    </xf>
    <xf numFmtId="9" fontId="11" fillId="14" borderId="5" xfId="0" applyNumberFormat="1" applyFont="1" applyFill="1" applyBorder="1" applyAlignment="1">
      <alignment horizontal="left"/>
    </xf>
    <xf numFmtId="8" fontId="11" fillId="14" borderId="5" xfId="0" applyNumberFormat="1" applyFont="1" applyFill="1" applyBorder="1" applyAlignment="1">
      <alignment horizontal="left"/>
    </xf>
    <xf numFmtId="0" fontId="11" fillId="14" borderId="11" xfId="0" applyFont="1" applyFill="1" applyBorder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2" fillId="18" borderId="0" xfId="0" applyFont="1" applyFill="1" applyAlignment="1">
      <alignment horizontal="left" wrapText="1"/>
    </xf>
    <xf numFmtId="0" fontId="15" fillId="18" borderId="0" xfId="0" applyFont="1" applyFill="1" applyAlignment="1">
      <alignment horizontal="centerContinuous"/>
    </xf>
    <xf numFmtId="0" fontId="15" fillId="18" borderId="0" xfId="0" applyFont="1" applyFill="1" applyAlignment="1">
      <alignment horizontal="left" wrapText="1"/>
    </xf>
    <xf numFmtId="0" fontId="15" fillId="18" borderId="0" xfId="0" applyFont="1" applyFill="1"/>
    <xf numFmtId="6" fontId="3" fillId="0" borderId="0" xfId="0" applyNumberFormat="1" applyFont="1"/>
    <xf numFmtId="0" fontId="3" fillId="0" borderId="16" xfId="0" applyFont="1" applyBorder="1"/>
    <xf numFmtId="6" fontId="0" fillId="0" borderId="16" xfId="0" applyNumberFormat="1" applyBorder="1"/>
    <xf numFmtId="6" fontId="3" fillId="19" borderId="0" xfId="0" applyNumberFormat="1" applyFont="1" applyFill="1"/>
    <xf numFmtId="6" fontId="0" fillId="19" borderId="0" xfId="0" applyNumberFormat="1" applyFill="1"/>
    <xf numFmtId="0" fontId="15" fillId="18" borderId="0" xfId="0" applyFont="1" applyFill="1" applyAlignment="1">
      <alignment horizontal="right"/>
    </xf>
    <xf numFmtId="6" fontId="0" fillId="0" borderId="0" xfId="0" applyNumberFormat="1" applyAlignment="1">
      <alignment horizontal="right"/>
    </xf>
    <xf numFmtId="0" fontId="0" fillId="0" borderId="4" xfId="0" applyBorder="1"/>
    <xf numFmtId="0" fontId="0" fillId="17" borderId="0" xfId="0" applyFill="1"/>
    <xf numFmtId="9" fontId="0" fillId="6" borderId="3" xfId="0" applyNumberFormat="1" applyFill="1" applyBorder="1" applyAlignment="1">
      <alignment horizontal="center"/>
    </xf>
    <xf numFmtId="9" fontId="0" fillId="12" borderId="3" xfId="0" applyNumberFormat="1" applyFill="1" applyBorder="1" applyAlignment="1">
      <alignment horizontal="center"/>
    </xf>
    <xf numFmtId="0" fontId="13" fillId="0" borderId="4" xfId="0" applyFont="1" applyBorder="1" applyAlignment="1">
      <alignment horizontal="left"/>
    </xf>
    <xf numFmtId="6" fontId="13" fillId="0" borderId="5" xfId="0" applyNumberFormat="1" applyFont="1" applyBorder="1" applyAlignment="1">
      <alignment horizontal="right"/>
    </xf>
    <xf numFmtId="168" fontId="13" fillId="0" borderId="4" xfId="0" applyNumberFormat="1" applyFont="1" applyBorder="1" applyAlignment="1">
      <alignment horizontal="left"/>
    </xf>
    <xf numFmtId="0" fontId="13" fillId="0" borderId="13" xfId="0" applyFont="1" applyBorder="1" applyAlignment="1">
      <alignment horizontal="left"/>
    </xf>
    <xf numFmtId="168" fontId="13" fillId="0" borderId="14" xfId="0" applyNumberFormat="1" applyFont="1" applyBorder="1" applyAlignment="1">
      <alignment horizontal="left"/>
    </xf>
    <xf numFmtId="6" fontId="13" fillId="0" borderId="13" xfId="0" applyNumberFormat="1" applyFont="1" applyBorder="1" applyAlignment="1">
      <alignment horizontal="right"/>
    </xf>
    <xf numFmtId="168" fontId="13" fillId="20" borderId="4" xfId="0" applyNumberFormat="1" applyFont="1" applyFill="1" applyBorder="1" applyAlignment="1">
      <alignment horizontal="left"/>
    </xf>
    <xf numFmtId="0" fontId="13" fillId="14" borderId="8" xfId="0" applyFont="1" applyFill="1" applyBorder="1" applyAlignment="1">
      <alignment horizontal="left"/>
    </xf>
    <xf numFmtId="6" fontId="13" fillId="14" borderId="6" xfId="0" applyNumberFormat="1" applyFont="1" applyFill="1" applyBorder="1" applyAlignment="1">
      <alignment horizontal="right"/>
    </xf>
    <xf numFmtId="0" fontId="13" fillId="14" borderId="4" xfId="0" applyFont="1" applyFill="1" applyBorder="1" applyAlignment="1">
      <alignment horizontal="left"/>
    </xf>
    <xf numFmtId="6" fontId="13" fillId="14" borderId="5" xfId="0" applyNumberFormat="1" applyFont="1" applyFill="1" applyBorder="1" applyAlignment="1">
      <alignment horizontal="right"/>
    </xf>
    <xf numFmtId="0" fontId="0" fillId="12" borderId="1" xfId="0" applyFill="1" applyBorder="1" applyAlignment="1">
      <alignment horizontal="center"/>
    </xf>
    <xf numFmtId="0" fontId="11" fillId="14" borderId="0" xfId="0" applyFont="1" applyFill="1" applyAlignment="1">
      <alignment horizontal="left"/>
    </xf>
    <xf numFmtId="0" fontId="29" fillId="0" borderId="0" xfId="0" applyFont="1"/>
    <xf numFmtId="8" fontId="0" fillId="0" borderId="5" xfId="0" applyNumberForma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4" fillId="0" borderId="5" xfId="0" applyFont="1" applyBorder="1" applyAlignment="1">
      <alignment horizontal="center"/>
    </xf>
    <xf numFmtId="9" fontId="0" fillId="0" borderId="5" xfId="0" applyNumberFormat="1" applyBorder="1" applyAlignment="1">
      <alignment horizontal="center"/>
    </xf>
    <xf numFmtId="0" fontId="13" fillId="0" borderId="0" xfId="0" applyFont="1" applyAlignment="1">
      <alignment horizontal="left"/>
    </xf>
    <xf numFmtId="6" fontId="13" fillId="0" borderId="0" xfId="0" applyNumberFormat="1" applyFont="1" applyAlignment="1">
      <alignment horizontal="right"/>
    </xf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8" fontId="30" fillId="12" borderId="0" xfId="0" applyNumberFormat="1" applyFont="1" applyFill="1"/>
    <xf numFmtId="0" fontId="0" fillId="0" borderId="0" xfId="0" applyAlignment="1">
      <alignment horizontal="left" vertical="top" wrapText="1"/>
    </xf>
    <xf numFmtId="169" fontId="13" fillId="0" borderId="6" xfId="0" applyNumberFormat="1" applyFont="1" applyBorder="1" applyAlignment="1">
      <alignment horizontal="right"/>
    </xf>
    <xf numFmtId="0" fontId="11" fillId="3" borderId="0" xfId="0" applyFont="1" applyFill="1"/>
    <xf numFmtId="0" fontId="0" fillId="19" borderId="0" xfId="0" applyFill="1" applyAlignment="1">
      <alignment horizontal="left" vertical="top" wrapText="1"/>
    </xf>
    <xf numFmtId="0" fontId="15" fillId="18" borderId="0" xfId="0" applyFont="1" applyFill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6" fontId="0" fillId="0" borderId="0" xfId="0" applyNumberFormat="1" applyAlignment="1">
      <alignment horizontal="left" vertical="top" wrapText="1"/>
    </xf>
    <xf numFmtId="6" fontId="0" fillId="0" borderId="16" xfId="0" applyNumberFormat="1" applyBorder="1" applyAlignment="1">
      <alignment horizontal="left" vertical="top" wrapText="1"/>
    </xf>
  </cellXfs>
  <cellStyles count="3">
    <cellStyle name="Hyperlink" xfId="2" builtinId="8"/>
    <cellStyle name="Normal" xfId="0" builtinId="0"/>
    <cellStyle name="Normal_Reconciliation from budget to Adjustments Estimate - 2001-2002 3" xfId="1" xr:uid="{131B12B2-6DBD-4F02-B74A-B210B94927BD}"/>
  </cellStyles>
  <dxfs count="2">
    <dxf>
      <fill>
        <patternFill patternType="lightGrid">
          <bgColor theme="9"/>
        </patternFill>
      </fill>
    </dxf>
    <dxf>
      <fill>
        <patternFill patternType="lightGrid">
          <bgColor theme="9"/>
        </patternFill>
      </fill>
    </dxf>
  </dxfs>
  <tableStyles count="0" defaultTableStyle="TableStyleMedium2" defaultPivotStyle="PivotStyleLight16"/>
  <colors>
    <mruColors>
      <color rgb="FF5C2A08"/>
      <color rgb="FF9966FF"/>
      <color rgb="FF4299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 B" refreshedDate="45684.138740856484" createdVersion="8" refreshedVersion="8" minRefreshableVersion="3" recordCount="999" xr:uid="{82C9745D-CEE8-4EB0-BDCD-FD9D17EC0927}">
  <cacheSource type="worksheet">
    <worksheetSource ref="A1:K1000" sheet="SNAP Data"/>
  </cacheSource>
  <cacheFields count="11">
    <cacheField name="Province" numFmtId="0">
      <sharedItems count="9">
        <s v="Eastern Cape"/>
        <s v="Free State"/>
        <s v="Gauteng"/>
        <s v="Kwa-Zulu Natal"/>
        <s v="Limpopo"/>
        <s v="Mpumalanga"/>
        <s v="North West"/>
        <s v="Northern Cape"/>
        <s v="Western Cape"/>
      </sharedItems>
    </cacheField>
    <cacheField name="Prov #" numFmtId="0">
      <sharedItems containsSemiMixedTypes="0" containsString="0" containsNumber="1" containsInteger="1" minValue="1" maxValue="9"/>
    </cacheField>
    <cacheField name="District" numFmtId="0">
      <sharedItems/>
    </cacheField>
    <cacheField name="Quintile" numFmtId="0">
      <sharedItems containsSemiMixedTypes="0" containsString="0" containsNumber="1" containsInteger="1" minValue="1" maxValue="5" count="5">
        <n v="1"/>
        <n v="2"/>
        <n v="3"/>
        <n v="4"/>
        <n v="5"/>
      </sharedItems>
    </cacheField>
    <cacheField name="Grade" numFmtId="0">
      <sharedItems containsSemiMixedTypes="0" containsString="0" containsNumber="1" containsInteger="1" minValue="1" maxValue="3" count="3">
        <n v="1"/>
        <n v="2"/>
        <n v="3"/>
      </sharedItems>
    </cacheField>
    <cacheField name="Learners 2017" numFmtId="0">
      <sharedItems containsSemiMixedTypes="0" containsString="0" containsNumber="1" containsInteger="1" minValue="28" maxValue="21742"/>
    </cacheField>
    <cacheField name="LE ratio" numFmtId="2">
      <sharedItems containsSemiMixedTypes="0" containsString="0" containsNumber="1" minValue="28.09" maxValue="37.65"/>
    </cacheField>
    <cacheField name="# Teachers" numFmtId="0">
      <sharedItems containsSemiMixedTypes="0" containsString="0" containsNumber="1" containsInteger="1" minValue="1" maxValue="604"/>
    </cacheField>
    <cacheField name="# of schools" numFmtId="0">
      <sharedItems containsSemiMixedTypes="0" containsString="0" containsNumber="1" containsInteger="1" minValue="1" maxValue="323"/>
    </cacheField>
    <cacheField name="Quintile included" numFmtId="0">
      <sharedItems/>
    </cacheField>
    <cacheField name="Grade include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99">
  <r>
    <x v="0"/>
    <n v="1"/>
    <s v="Alfred Nzo East"/>
    <x v="0"/>
    <x v="0"/>
    <n v="5736"/>
    <n v="32.99"/>
    <n v="174"/>
    <n v="119"/>
    <b v="1"/>
    <b v="1"/>
  </r>
  <r>
    <x v="0"/>
    <n v="1"/>
    <s v="Alfred Nzo East"/>
    <x v="0"/>
    <x v="1"/>
    <n v="5221"/>
    <n v="32.99"/>
    <n v="159"/>
    <n v="119"/>
    <b v="1"/>
    <b v="1"/>
  </r>
  <r>
    <x v="0"/>
    <n v="1"/>
    <s v="Alfred Nzo East"/>
    <x v="0"/>
    <x v="2"/>
    <n v="4865"/>
    <n v="32.99"/>
    <n v="148"/>
    <n v="119"/>
    <b v="1"/>
    <b v="1"/>
  </r>
  <r>
    <x v="0"/>
    <n v="1"/>
    <s v="Alfred Nzo East"/>
    <x v="1"/>
    <x v="0"/>
    <n v="1774"/>
    <n v="32.99"/>
    <n v="54"/>
    <n v="24"/>
    <b v="1"/>
    <b v="1"/>
  </r>
  <r>
    <x v="0"/>
    <n v="1"/>
    <s v="Alfred Nzo East"/>
    <x v="1"/>
    <x v="1"/>
    <n v="1623"/>
    <n v="32.99"/>
    <n v="50"/>
    <n v="24"/>
    <b v="1"/>
    <b v="1"/>
  </r>
  <r>
    <x v="0"/>
    <n v="1"/>
    <s v="Alfred Nzo East"/>
    <x v="1"/>
    <x v="2"/>
    <n v="1522"/>
    <n v="32.99"/>
    <n v="47"/>
    <n v="24"/>
    <b v="1"/>
    <b v="1"/>
  </r>
  <r>
    <x v="0"/>
    <n v="1"/>
    <s v="Alfred Nzo East"/>
    <x v="2"/>
    <x v="0"/>
    <n v="564"/>
    <n v="32.99"/>
    <n v="18"/>
    <n v="8"/>
    <b v="1"/>
    <b v="1"/>
  </r>
  <r>
    <x v="0"/>
    <n v="1"/>
    <s v="Alfred Nzo East"/>
    <x v="2"/>
    <x v="1"/>
    <n v="565"/>
    <n v="32.99"/>
    <n v="18"/>
    <n v="8"/>
    <b v="1"/>
    <b v="1"/>
  </r>
  <r>
    <x v="0"/>
    <n v="1"/>
    <s v="Alfred Nzo East"/>
    <x v="2"/>
    <x v="2"/>
    <n v="547"/>
    <n v="32.99"/>
    <n v="17"/>
    <n v="8"/>
    <b v="1"/>
    <b v="1"/>
  </r>
  <r>
    <x v="0"/>
    <n v="1"/>
    <s v="Alfred Nzo West"/>
    <x v="0"/>
    <x v="0"/>
    <n v="4403"/>
    <n v="30.48"/>
    <n v="145"/>
    <n v="112"/>
    <b v="1"/>
    <b v="1"/>
  </r>
  <r>
    <x v="0"/>
    <n v="1"/>
    <s v="Alfred Nzo West"/>
    <x v="0"/>
    <x v="1"/>
    <n v="4403"/>
    <n v="30.48"/>
    <n v="145"/>
    <n v="112"/>
    <b v="1"/>
    <b v="1"/>
  </r>
  <r>
    <x v="0"/>
    <n v="1"/>
    <s v="Alfred Nzo West"/>
    <x v="0"/>
    <x v="2"/>
    <n v="4393"/>
    <n v="30.48"/>
    <n v="145"/>
    <n v="112"/>
    <b v="1"/>
    <b v="1"/>
  </r>
  <r>
    <x v="0"/>
    <n v="1"/>
    <s v="Alfred Nzo West"/>
    <x v="1"/>
    <x v="0"/>
    <n v="3609"/>
    <n v="30.48"/>
    <n v="119"/>
    <n v="73"/>
    <b v="1"/>
    <b v="1"/>
  </r>
  <r>
    <x v="0"/>
    <n v="1"/>
    <s v="Alfred Nzo West"/>
    <x v="1"/>
    <x v="1"/>
    <n v="3463"/>
    <n v="30.48"/>
    <n v="114"/>
    <n v="73"/>
    <b v="1"/>
    <b v="1"/>
  </r>
  <r>
    <x v="0"/>
    <n v="1"/>
    <s v="Alfred Nzo West"/>
    <x v="1"/>
    <x v="2"/>
    <n v="3573"/>
    <n v="30.48"/>
    <n v="118"/>
    <n v="73"/>
    <b v="1"/>
    <b v="1"/>
  </r>
  <r>
    <x v="0"/>
    <n v="1"/>
    <s v="Alfred Nzo West"/>
    <x v="2"/>
    <x v="0"/>
    <n v="1467"/>
    <n v="30.48"/>
    <n v="49"/>
    <n v="24"/>
    <b v="1"/>
    <b v="1"/>
  </r>
  <r>
    <x v="0"/>
    <n v="1"/>
    <s v="Alfred Nzo West"/>
    <x v="2"/>
    <x v="1"/>
    <n v="1486"/>
    <n v="30.48"/>
    <n v="49"/>
    <n v="24"/>
    <b v="1"/>
    <b v="1"/>
  </r>
  <r>
    <x v="0"/>
    <n v="1"/>
    <s v="Alfred Nzo West"/>
    <x v="2"/>
    <x v="2"/>
    <n v="1475"/>
    <n v="30.48"/>
    <n v="49"/>
    <n v="24"/>
    <b v="1"/>
    <b v="1"/>
  </r>
  <r>
    <x v="0"/>
    <n v="1"/>
    <s v="Alfred Nzo West"/>
    <x v="3"/>
    <x v="0"/>
    <n v="196"/>
    <n v="30.48"/>
    <n v="7"/>
    <n v="2"/>
    <b v="0"/>
    <b v="1"/>
  </r>
  <r>
    <x v="0"/>
    <n v="1"/>
    <s v="Alfred Nzo West"/>
    <x v="3"/>
    <x v="1"/>
    <n v="193"/>
    <n v="30.48"/>
    <n v="7"/>
    <n v="2"/>
    <b v="0"/>
    <b v="1"/>
  </r>
  <r>
    <x v="0"/>
    <n v="1"/>
    <s v="Alfred Nzo West"/>
    <x v="3"/>
    <x v="2"/>
    <n v="175"/>
    <n v="30.48"/>
    <n v="6"/>
    <n v="2"/>
    <b v="0"/>
    <b v="1"/>
  </r>
  <r>
    <x v="0"/>
    <n v="1"/>
    <s v="Amathole East"/>
    <x v="0"/>
    <x v="0"/>
    <n v="4335"/>
    <n v="34.909999999999997"/>
    <n v="125"/>
    <n v="106"/>
    <b v="1"/>
    <b v="1"/>
  </r>
  <r>
    <x v="0"/>
    <n v="1"/>
    <s v="Amathole East"/>
    <x v="0"/>
    <x v="1"/>
    <n v="4240"/>
    <n v="34.909999999999997"/>
    <n v="122"/>
    <n v="106"/>
    <b v="1"/>
    <b v="1"/>
  </r>
  <r>
    <x v="0"/>
    <n v="1"/>
    <s v="Amathole East"/>
    <x v="0"/>
    <x v="2"/>
    <n v="4095"/>
    <n v="34.909999999999997"/>
    <n v="118"/>
    <n v="106"/>
    <b v="1"/>
    <b v="1"/>
  </r>
  <r>
    <x v="0"/>
    <n v="1"/>
    <s v="Amathole East"/>
    <x v="1"/>
    <x v="0"/>
    <n v="954"/>
    <n v="34.909999999999997"/>
    <n v="28"/>
    <n v="33"/>
    <b v="1"/>
    <b v="1"/>
  </r>
  <r>
    <x v="0"/>
    <n v="1"/>
    <s v="Amathole East"/>
    <x v="1"/>
    <x v="1"/>
    <n v="861"/>
    <n v="34.909999999999997"/>
    <n v="25"/>
    <n v="33"/>
    <b v="1"/>
    <b v="1"/>
  </r>
  <r>
    <x v="0"/>
    <n v="1"/>
    <s v="Amathole East"/>
    <x v="1"/>
    <x v="2"/>
    <n v="870"/>
    <n v="34.909999999999997"/>
    <n v="25"/>
    <n v="33"/>
    <b v="1"/>
    <b v="1"/>
  </r>
  <r>
    <x v="0"/>
    <n v="1"/>
    <s v="Amathole East"/>
    <x v="2"/>
    <x v="0"/>
    <n v="1594"/>
    <n v="34.909999999999997"/>
    <n v="46"/>
    <n v="35"/>
    <b v="1"/>
    <b v="1"/>
  </r>
  <r>
    <x v="0"/>
    <n v="1"/>
    <s v="Amathole East"/>
    <x v="2"/>
    <x v="1"/>
    <n v="1444"/>
    <n v="34.909999999999997"/>
    <n v="42"/>
    <n v="35"/>
    <b v="1"/>
    <b v="1"/>
  </r>
  <r>
    <x v="0"/>
    <n v="1"/>
    <s v="Amathole East"/>
    <x v="2"/>
    <x v="2"/>
    <n v="1534"/>
    <n v="34.909999999999997"/>
    <n v="44"/>
    <n v="35"/>
    <b v="1"/>
    <b v="1"/>
  </r>
  <r>
    <x v="0"/>
    <n v="1"/>
    <s v="Amathole East"/>
    <x v="3"/>
    <x v="0"/>
    <n v="87"/>
    <n v="34.909999999999997"/>
    <n v="3"/>
    <n v="1"/>
    <b v="0"/>
    <b v="1"/>
  </r>
  <r>
    <x v="0"/>
    <n v="1"/>
    <s v="Amathole East"/>
    <x v="3"/>
    <x v="1"/>
    <n v="80"/>
    <n v="34.909999999999997"/>
    <n v="3"/>
    <n v="1"/>
    <b v="0"/>
    <b v="1"/>
  </r>
  <r>
    <x v="0"/>
    <n v="1"/>
    <s v="Amathole East"/>
    <x v="3"/>
    <x v="2"/>
    <n v="95"/>
    <n v="34.909999999999997"/>
    <n v="3"/>
    <n v="1"/>
    <b v="0"/>
    <b v="1"/>
  </r>
  <r>
    <x v="0"/>
    <n v="1"/>
    <s v="Amathole West"/>
    <x v="1"/>
    <x v="0"/>
    <n v="843"/>
    <n v="37.08"/>
    <n v="23"/>
    <n v="24"/>
    <b v="1"/>
    <b v="1"/>
  </r>
  <r>
    <x v="0"/>
    <n v="1"/>
    <s v="Amathole West"/>
    <x v="1"/>
    <x v="1"/>
    <n v="875"/>
    <n v="37.08"/>
    <n v="24"/>
    <n v="24"/>
    <b v="1"/>
    <b v="1"/>
  </r>
  <r>
    <x v="0"/>
    <n v="1"/>
    <s v="Amathole West"/>
    <x v="1"/>
    <x v="2"/>
    <n v="793"/>
    <n v="37.08"/>
    <n v="22"/>
    <n v="24"/>
    <b v="1"/>
    <b v="1"/>
  </r>
  <r>
    <x v="0"/>
    <n v="1"/>
    <s v="Amathole West"/>
    <x v="2"/>
    <x v="0"/>
    <n v="3227"/>
    <n v="37.08"/>
    <n v="88"/>
    <n v="59"/>
    <b v="1"/>
    <b v="1"/>
  </r>
  <r>
    <x v="0"/>
    <n v="1"/>
    <s v="Amathole West"/>
    <x v="2"/>
    <x v="1"/>
    <n v="3254"/>
    <n v="37.08"/>
    <n v="88"/>
    <n v="59"/>
    <b v="1"/>
    <b v="1"/>
  </r>
  <r>
    <x v="0"/>
    <n v="1"/>
    <s v="Amathole West"/>
    <x v="2"/>
    <x v="2"/>
    <n v="3111"/>
    <n v="37.08"/>
    <n v="84"/>
    <n v="59"/>
    <b v="1"/>
    <b v="1"/>
  </r>
  <r>
    <x v="0"/>
    <n v="1"/>
    <s v="Amathole West"/>
    <x v="3"/>
    <x v="0"/>
    <n v="233"/>
    <n v="37.08"/>
    <n v="7"/>
    <n v="5"/>
    <b v="0"/>
    <b v="1"/>
  </r>
  <r>
    <x v="0"/>
    <n v="1"/>
    <s v="Amathole West"/>
    <x v="3"/>
    <x v="1"/>
    <n v="257"/>
    <n v="37.08"/>
    <n v="7"/>
    <n v="5"/>
    <b v="0"/>
    <b v="1"/>
  </r>
  <r>
    <x v="0"/>
    <n v="1"/>
    <s v="Amathole West"/>
    <x v="3"/>
    <x v="2"/>
    <n v="256"/>
    <n v="37.08"/>
    <n v="7"/>
    <n v="5"/>
    <b v="0"/>
    <b v="1"/>
  </r>
  <r>
    <x v="0"/>
    <n v="1"/>
    <s v="Amathole West"/>
    <x v="4"/>
    <x v="0"/>
    <n v="62"/>
    <n v="37.08"/>
    <n v="2"/>
    <n v="1"/>
    <b v="0"/>
    <b v="1"/>
  </r>
  <r>
    <x v="0"/>
    <n v="1"/>
    <s v="Amathole West"/>
    <x v="4"/>
    <x v="1"/>
    <n v="57"/>
    <n v="37.08"/>
    <n v="2"/>
    <n v="1"/>
    <b v="0"/>
    <b v="1"/>
  </r>
  <r>
    <x v="0"/>
    <n v="1"/>
    <s v="Amathole West"/>
    <x v="4"/>
    <x v="2"/>
    <n v="76"/>
    <n v="37.08"/>
    <n v="3"/>
    <n v="1"/>
    <b v="0"/>
    <b v="1"/>
  </r>
  <r>
    <x v="0"/>
    <n v="1"/>
    <s v="Buffalo City"/>
    <x v="1"/>
    <x v="0"/>
    <n v="1205"/>
    <n v="32.979999999999997"/>
    <n v="37"/>
    <n v="24"/>
    <b v="1"/>
    <b v="1"/>
  </r>
  <r>
    <x v="0"/>
    <n v="1"/>
    <s v="Buffalo City"/>
    <x v="1"/>
    <x v="1"/>
    <n v="1095"/>
    <n v="32.979999999999997"/>
    <n v="34"/>
    <n v="24"/>
    <b v="1"/>
    <b v="1"/>
  </r>
  <r>
    <x v="0"/>
    <n v="1"/>
    <s v="Buffalo City"/>
    <x v="1"/>
    <x v="2"/>
    <n v="1151"/>
    <n v="32.979999999999997"/>
    <n v="35"/>
    <n v="24"/>
    <b v="1"/>
    <b v="1"/>
  </r>
  <r>
    <x v="0"/>
    <n v="1"/>
    <s v="Buffalo City"/>
    <x v="2"/>
    <x v="0"/>
    <n v="10333"/>
    <n v="32.979999999999997"/>
    <n v="314"/>
    <n v="138"/>
    <b v="1"/>
    <b v="1"/>
  </r>
  <r>
    <x v="0"/>
    <n v="1"/>
    <s v="Buffalo City"/>
    <x v="2"/>
    <x v="1"/>
    <n v="9841"/>
    <n v="32.979999999999997"/>
    <n v="299"/>
    <n v="138"/>
    <b v="1"/>
    <b v="1"/>
  </r>
  <r>
    <x v="0"/>
    <n v="1"/>
    <s v="Buffalo City"/>
    <x v="2"/>
    <x v="2"/>
    <n v="9823"/>
    <n v="32.979999999999997"/>
    <n v="298"/>
    <n v="138"/>
    <b v="1"/>
    <b v="1"/>
  </r>
  <r>
    <x v="0"/>
    <n v="1"/>
    <s v="Buffalo City"/>
    <x v="3"/>
    <x v="0"/>
    <n v="1072"/>
    <n v="32.979999999999997"/>
    <n v="33"/>
    <n v="11"/>
    <b v="0"/>
    <b v="1"/>
  </r>
  <r>
    <x v="0"/>
    <n v="1"/>
    <s v="Buffalo City"/>
    <x v="3"/>
    <x v="1"/>
    <n v="1068"/>
    <n v="32.979999999999997"/>
    <n v="33"/>
    <n v="11"/>
    <b v="0"/>
    <b v="1"/>
  </r>
  <r>
    <x v="0"/>
    <n v="1"/>
    <s v="Buffalo City"/>
    <x v="3"/>
    <x v="2"/>
    <n v="1028"/>
    <n v="32.979999999999997"/>
    <n v="32"/>
    <n v="11"/>
    <b v="0"/>
    <b v="1"/>
  </r>
  <r>
    <x v="0"/>
    <n v="1"/>
    <s v="Buffalo City"/>
    <x v="4"/>
    <x v="0"/>
    <n v="2131"/>
    <n v="32.979999999999997"/>
    <n v="65"/>
    <n v="25"/>
    <b v="0"/>
    <b v="1"/>
  </r>
  <r>
    <x v="0"/>
    <n v="1"/>
    <s v="Buffalo City"/>
    <x v="4"/>
    <x v="1"/>
    <n v="2010"/>
    <n v="32.979999999999997"/>
    <n v="61"/>
    <n v="25"/>
    <b v="0"/>
    <b v="1"/>
  </r>
  <r>
    <x v="0"/>
    <n v="1"/>
    <s v="Buffalo City"/>
    <x v="4"/>
    <x v="2"/>
    <n v="2039"/>
    <n v="32.979999999999997"/>
    <n v="62"/>
    <n v="25"/>
    <b v="0"/>
    <b v="1"/>
  </r>
  <r>
    <x v="0"/>
    <n v="1"/>
    <s v="Chris Hani East"/>
    <x v="0"/>
    <x v="0"/>
    <n v="3538"/>
    <n v="30.68"/>
    <n v="116"/>
    <n v="89"/>
    <b v="1"/>
    <b v="1"/>
  </r>
  <r>
    <x v="0"/>
    <n v="1"/>
    <s v="Chris Hani East"/>
    <x v="0"/>
    <x v="1"/>
    <n v="3289"/>
    <n v="30.68"/>
    <n v="108"/>
    <n v="89"/>
    <b v="1"/>
    <b v="1"/>
  </r>
  <r>
    <x v="0"/>
    <n v="1"/>
    <s v="Chris Hani East"/>
    <x v="0"/>
    <x v="2"/>
    <n v="3400"/>
    <n v="30.68"/>
    <n v="111"/>
    <n v="89"/>
    <b v="1"/>
    <b v="1"/>
  </r>
  <r>
    <x v="0"/>
    <n v="1"/>
    <s v="Chris Hani East"/>
    <x v="1"/>
    <x v="0"/>
    <n v="1593"/>
    <n v="30.68"/>
    <n v="52"/>
    <n v="36"/>
    <b v="1"/>
    <b v="1"/>
  </r>
  <r>
    <x v="0"/>
    <n v="1"/>
    <s v="Chris Hani East"/>
    <x v="1"/>
    <x v="1"/>
    <n v="1469"/>
    <n v="30.68"/>
    <n v="48"/>
    <n v="36"/>
    <b v="1"/>
    <b v="1"/>
  </r>
  <r>
    <x v="0"/>
    <n v="1"/>
    <s v="Chris Hani East"/>
    <x v="1"/>
    <x v="2"/>
    <n v="1438"/>
    <n v="30.68"/>
    <n v="47"/>
    <n v="36"/>
    <b v="1"/>
    <b v="1"/>
  </r>
  <r>
    <x v="0"/>
    <n v="1"/>
    <s v="Chris Hani East"/>
    <x v="2"/>
    <x v="0"/>
    <n v="1203"/>
    <n v="30.68"/>
    <n v="40"/>
    <n v="16"/>
    <b v="1"/>
    <b v="1"/>
  </r>
  <r>
    <x v="0"/>
    <n v="1"/>
    <s v="Chris Hani East"/>
    <x v="2"/>
    <x v="1"/>
    <n v="1296"/>
    <n v="30.68"/>
    <n v="43"/>
    <n v="16"/>
    <b v="1"/>
    <b v="1"/>
  </r>
  <r>
    <x v="0"/>
    <n v="1"/>
    <s v="Chris Hani East"/>
    <x v="2"/>
    <x v="2"/>
    <n v="1218"/>
    <n v="30.68"/>
    <n v="40"/>
    <n v="16"/>
    <b v="1"/>
    <b v="1"/>
  </r>
  <r>
    <x v="0"/>
    <n v="1"/>
    <s v="Chris Hani East"/>
    <x v="3"/>
    <x v="0"/>
    <n v="48"/>
    <n v="30.68"/>
    <n v="2"/>
    <n v="1"/>
    <b v="0"/>
    <b v="1"/>
  </r>
  <r>
    <x v="0"/>
    <n v="1"/>
    <s v="Chris Hani East"/>
    <x v="3"/>
    <x v="1"/>
    <n v="35"/>
    <n v="30.68"/>
    <n v="2"/>
    <n v="1"/>
    <b v="0"/>
    <b v="1"/>
  </r>
  <r>
    <x v="0"/>
    <n v="1"/>
    <s v="Chris Hani East"/>
    <x v="3"/>
    <x v="2"/>
    <n v="49"/>
    <n v="30.68"/>
    <n v="2"/>
    <n v="1"/>
    <b v="0"/>
    <b v="1"/>
  </r>
  <r>
    <x v="0"/>
    <n v="1"/>
    <s v="Chris Hani West"/>
    <x v="0"/>
    <x v="0"/>
    <n v="1057"/>
    <n v="32.659999999999997"/>
    <n v="33"/>
    <n v="28"/>
    <b v="1"/>
    <b v="1"/>
  </r>
  <r>
    <x v="0"/>
    <n v="1"/>
    <s v="Chris Hani West"/>
    <x v="0"/>
    <x v="1"/>
    <n v="920"/>
    <n v="32.659999999999997"/>
    <n v="29"/>
    <n v="28"/>
    <b v="1"/>
    <b v="1"/>
  </r>
  <r>
    <x v="0"/>
    <n v="1"/>
    <s v="Chris Hani West"/>
    <x v="0"/>
    <x v="2"/>
    <n v="853"/>
    <n v="32.659999999999997"/>
    <n v="27"/>
    <n v="28"/>
    <b v="1"/>
    <b v="1"/>
  </r>
  <r>
    <x v="0"/>
    <n v="1"/>
    <s v="Chris Hani West"/>
    <x v="1"/>
    <x v="0"/>
    <n v="929"/>
    <n v="32.659999999999997"/>
    <n v="29"/>
    <n v="19"/>
    <b v="1"/>
    <b v="1"/>
  </r>
  <r>
    <x v="0"/>
    <n v="1"/>
    <s v="Chris Hani West"/>
    <x v="1"/>
    <x v="1"/>
    <n v="866"/>
    <n v="32.659999999999997"/>
    <n v="27"/>
    <n v="19"/>
    <b v="1"/>
    <b v="1"/>
  </r>
  <r>
    <x v="0"/>
    <n v="1"/>
    <s v="Chris Hani West"/>
    <x v="1"/>
    <x v="2"/>
    <n v="850"/>
    <n v="32.659999999999997"/>
    <n v="27"/>
    <n v="19"/>
    <b v="1"/>
    <b v="1"/>
  </r>
  <r>
    <x v="0"/>
    <n v="1"/>
    <s v="Chris Hani West"/>
    <x v="2"/>
    <x v="0"/>
    <n v="5937"/>
    <n v="32.659999999999997"/>
    <n v="182"/>
    <n v="73"/>
    <b v="1"/>
    <b v="1"/>
  </r>
  <r>
    <x v="0"/>
    <n v="1"/>
    <s v="Chris Hani West"/>
    <x v="2"/>
    <x v="1"/>
    <n v="5248"/>
    <n v="32.659999999999997"/>
    <n v="161"/>
    <n v="73"/>
    <b v="1"/>
    <b v="1"/>
  </r>
  <r>
    <x v="0"/>
    <n v="1"/>
    <s v="Chris Hani West"/>
    <x v="2"/>
    <x v="2"/>
    <n v="5623"/>
    <n v="32.659999999999997"/>
    <n v="173"/>
    <n v="73"/>
    <b v="1"/>
    <b v="1"/>
  </r>
  <r>
    <x v="0"/>
    <n v="1"/>
    <s v="Chris Hani West"/>
    <x v="3"/>
    <x v="0"/>
    <n v="291"/>
    <n v="32.659999999999997"/>
    <n v="9"/>
    <n v="7"/>
    <b v="0"/>
    <b v="1"/>
  </r>
  <r>
    <x v="0"/>
    <n v="1"/>
    <s v="Chris Hani West"/>
    <x v="3"/>
    <x v="1"/>
    <n v="298"/>
    <n v="32.659999999999997"/>
    <n v="10"/>
    <n v="7"/>
    <b v="0"/>
    <b v="1"/>
  </r>
  <r>
    <x v="0"/>
    <n v="1"/>
    <s v="Chris Hani West"/>
    <x v="3"/>
    <x v="2"/>
    <n v="319"/>
    <n v="32.659999999999997"/>
    <n v="10"/>
    <n v="7"/>
    <b v="0"/>
    <b v="1"/>
  </r>
  <r>
    <x v="0"/>
    <n v="1"/>
    <s v="Chris Hani West"/>
    <x v="4"/>
    <x v="0"/>
    <n v="280"/>
    <n v="32.659999999999997"/>
    <n v="9"/>
    <n v="4"/>
    <b v="0"/>
    <b v="1"/>
  </r>
  <r>
    <x v="0"/>
    <n v="1"/>
    <s v="Chris Hani West"/>
    <x v="4"/>
    <x v="1"/>
    <n v="277"/>
    <n v="32.659999999999997"/>
    <n v="9"/>
    <n v="4"/>
    <b v="0"/>
    <b v="1"/>
  </r>
  <r>
    <x v="0"/>
    <n v="1"/>
    <s v="Chris Hani West"/>
    <x v="4"/>
    <x v="2"/>
    <n v="270"/>
    <n v="32.659999999999997"/>
    <n v="9"/>
    <n v="4"/>
    <b v="0"/>
    <b v="1"/>
  </r>
  <r>
    <x v="0"/>
    <n v="1"/>
    <s v="Joe Gqabi"/>
    <x v="0"/>
    <x v="0"/>
    <n v="1015"/>
    <n v="30.9"/>
    <n v="33"/>
    <n v="24"/>
    <b v="1"/>
    <b v="1"/>
  </r>
  <r>
    <x v="0"/>
    <n v="1"/>
    <s v="Joe Gqabi"/>
    <x v="0"/>
    <x v="1"/>
    <n v="910"/>
    <n v="30.9"/>
    <n v="30"/>
    <n v="24"/>
    <b v="1"/>
    <b v="1"/>
  </r>
  <r>
    <x v="0"/>
    <n v="1"/>
    <s v="Joe Gqabi"/>
    <x v="0"/>
    <x v="2"/>
    <n v="929"/>
    <n v="30.9"/>
    <n v="31"/>
    <n v="24"/>
    <b v="1"/>
    <b v="1"/>
  </r>
  <r>
    <x v="0"/>
    <n v="1"/>
    <s v="Joe Gqabi"/>
    <x v="1"/>
    <x v="0"/>
    <n v="1319"/>
    <n v="30.9"/>
    <n v="43"/>
    <n v="30"/>
    <b v="1"/>
    <b v="1"/>
  </r>
  <r>
    <x v="0"/>
    <n v="1"/>
    <s v="Joe Gqabi"/>
    <x v="1"/>
    <x v="1"/>
    <n v="1101"/>
    <n v="30.9"/>
    <n v="36"/>
    <n v="30"/>
    <b v="1"/>
    <b v="1"/>
  </r>
  <r>
    <x v="0"/>
    <n v="1"/>
    <s v="Joe Gqabi"/>
    <x v="1"/>
    <x v="2"/>
    <n v="1157"/>
    <n v="30.9"/>
    <n v="38"/>
    <n v="30"/>
    <b v="1"/>
    <b v="1"/>
  </r>
  <r>
    <x v="0"/>
    <n v="1"/>
    <s v="Joe Gqabi"/>
    <x v="2"/>
    <x v="0"/>
    <n v="3824"/>
    <n v="30.9"/>
    <n v="124"/>
    <n v="38"/>
    <b v="1"/>
    <b v="1"/>
  </r>
  <r>
    <x v="0"/>
    <n v="1"/>
    <s v="Joe Gqabi"/>
    <x v="2"/>
    <x v="1"/>
    <n v="3481"/>
    <n v="30.9"/>
    <n v="113"/>
    <n v="38"/>
    <b v="1"/>
    <b v="1"/>
  </r>
  <r>
    <x v="0"/>
    <n v="1"/>
    <s v="Joe Gqabi"/>
    <x v="2"/>
    <x v="2"/>
    <n v="3366"/>
    <n v="30.9"/>
    <n v="109"/>
    <n v="38"/>
    <b v="1"/>
    <b v="1"/>
  </r>
  <r>
    <x v="0"/>
    <n v="1"/>
    <s v="Joe Gqabi"/>
    <x v="3"/>
    <x v="0"/>
    <n v="231"/>
    <n v="30.9"/>
    <n v="8"/>
    <n v="5"/>
    <b v="0"/>
    <b v="1"/>
  </r>
  <r>
    <x v="0"/>
    <n v="1"/>
    <s v="Joe Gqabi"/>
    <x v="3"/>
    <x v="1"/>
    <n v="214"/>
    <n v="30.9"/>
    <n v="7"/>
    <n v="5"/>
    <b v="0"/>
    <b v="1"/>
  </r>
  <r>
    <x v="0"/>
    <n v="1"/>
    <s v="Joe Gqabi"/>
    <x v="3"/>
    <x v="2"/>
    <n v="196"/>
    <n v="30.9"/>
    <n v="7"/>
    <n v="5"/>
    <b v="0"/>
    <b v="1"/>
  </r>
  <r>
    <x v="0"/>
    <n v="1"/>
    <s v="Joe Gqabi"/>
    <x v="4"/>
    <x v="0"/>
    <n v="91"/>
    <n v="30.9"/>
    <n v="3"/>
    <n v="1"/>
    <b v="0"/>
    <b v="1"/>
  </r>
  <r>
    <x v="0"/>
    <n v="1"/>
    <s v="Joe Gqabi"/>
    <x v="4"/>
    <x v="1"/>
    <n v="85"/>
    <n v="30.9"/>
    <n v="3"/>
    <n v="1"/>
    <b v="0"/>
    <b v="1"/>
  </r>
  <r>
    <x v="0"/>
    <n v="1"/>
    <s v="Joe Gqabi"/>
    <x v="4"/>
    <x v="2"/>
    <n v="80"/>
    <n v="30.9"/>
    <n v="3"/>
    <n v="1"/>
    <b v="0"/>
    <b v="1"/>
  </r>
  <r>
    <x v="0"/>
    <n v="1"/>
    <s v="Nelson Mandela"/>
    <x v="1"/>
    <x v="0"/>
    <n v="137"/>
    <n v="32.25"/>
    <n v="5"/>
    <n v="3"/>
    <b v="1"/>
    <b v="1"/>
  </r>
  <r>
    <x v="0"/>
    <n v="1"/>
    <s v="Nelson Mandela"/>
    <x v="1"/>
    <x v="1"/>
    <n v="132"/>
    <n v="32.25"/>
    <n v="5"/>
    <n v="3"/>
    <b v="1"/>
    <b v="1"/>
  </r>
  <r>
    <x v="0"/>
    <n v="1"/>
    <s v="Nelson Mandela"/>
    <x v="1"/>
    <x v="2"/>
    <n v="146"/>
    <n v="32.25"/>
    <n v="5"/>
    <n v="3"/>
    <b v="1"/>
    <b v="1"/>
  </r>
  <r>
    <x v="0"/>
    <n v="1"/>
    <s v="Nelson Mandela"/>
    <x v="2"/>
    <x v="0"/>
    <n v="16900"/>
    <n v="32.25"/>
    <n v="525"/>
    <n v="145"/>
    <b v="1"/>
    <b v="1"/>
  </r>
  <r>
    <x v="0"/>
    <n v="1"/>
    <s v="Nelson Mandela"/>
    <x v="2"/>
    <x v="1"/>
    <n v="15464"/>
    <n v="32.25"/>
    <n v="480"/>
    <n v="145"/>
    <b v="1"/>
    <b v="1"/>
  </r>
  <r>
    <x v="0"/>
    <n v="1"/>
    <s v="Nelson Mandela"/>
    <x v="2"/>
    <x v="2"/>
    <n v="15595"/>
    <n v="32.25"/>
    <n v="484"/>
    <n v="145"/>
    <b v="1"/>
    <b v="1"/>
  </r>
  <r>
    <x v="0"/>
    <n v="1"/>
    <s v="Nelson Mandela"/>
    <x v="3"/>
    <x v="0"/>
    <n v="1193"/>
    <n v="32.25"/>
    <n v="37"/>
    <n v="13"/>
    <b v="0"/>
    <b v="1"/>
  </r>
  <r>
    <x v="0"/>
    <n v="1"/>
    <s v="Nelson Mandela"/>
    <x v="3"/>
    <x v="1"/>
    <n v="1134"/>
    <n v="32.25"/>
    <n v="36"/>
    <n v="13"/>
    <b v="0"/>
    <b v="1"/>
  </r>
  <r>
    <x v="0"/>
    <n v="1"/>
    <s v="Nelson Mandela"/>
    <x v="3"/>
    <x v="2"/>
    <n v="1094"/>
    <n v="32.25"/>
    <n v="34"/>
    <n v="13"/>
    <b v="0"/>
    <b v="1"/>
  </r>
  <r>
    <x v="0"/>
    <n v="1"/>
    <s v="Nelson Mandela"/>
    <x v="4"/>
    <x v="0"/>
    <n v="3290"/>
    <n v="32.25"/>
    <n v="103"/>
    <n v="36"/>
    <b v="0"/>
    <b v="1"/>
  </r>
  <r>
    <x v="0"/>
    <n v="1"/>
    <s v="Nelson Mandela"/>
    <x v="4"/>
    <x v="1"/>
    <n v="3251"/>
    <n v="32.25"/>
    <n v="101"/>
    <n v="36"/>
    <b v="0"/>
    <b v="1"/>
  </r>
  <r>
    <x v="0"/>
    <n v="1"/>
    <s v="Nelson Mandela"/>
    <x v="4"/>
    <x v="2"/>
    <n v="3251"/>
    <n v="32.25"/>
    <n v="101"/>
    <n v="36"/>
    <b v="0"/>
    <b v="1"/>
  </r>
  <r>
    <x v="0"/>
    <n v="1"/>
    <s v="O R Tambo Coastal"/>
    <x v="0"/>
    <x v="0"/>
    <n v="14710"/>
    <n v="32.6"/>
    <n v="452"/>
    <n v="282"/>
    <b v="1"/>
    <b v="1"/>
  </r>
  <r>
    <x v="0"/>
    <n v="1"/>
    <s v="O R Tambo Coastal"/>
    <x v="0"/>
    <x v="1"/>
    <n v="13818"/>
    <n v="32.6"/>
    <n v="424"/>
    <n v="282"/>
    <b v="1"/>
    <b v="1"/>
  </r>
  <r>
    <x v="0"/>
    <n v="1"/>
    <s v="O R Tambo Coastal"/>
    <x v="0"/>
    <x v="2"/>
    <n v="13896"/>
    <n v="32.6"/>
    <n v="427"/>
    <n v="282"/>
    <b v="1"/>
    <b v="1"/>
  </r>
  <r>
    <x v="0"/>
    <n v="1"/>
    <s v="O R Tambo Coastal"/>
    <x v="1"/>
    <x v="0"/>
    <n v="3810"/>
    <n v="32.6"/>
    <n v="117"/>
    <n v="81"/>
    <b v="1"/>
    <b v="1"/>
  </r>
  <r>
    <x v="0"/>
    <n v="1"/>
    <s v="O R Tambo Coastal"/>
    <x v="1"/>
    <x v="1"/>
    <n v="3542"/>
    <n v="32.6"/>
    <n v="109"/>
    <n v="81"/>
    <b v="1"/>
    <b v="1"/>
  </r>
  <r>
    <x v="0"/>
    <n v="1"/>
    <s v="O R Tambo Coastal"/>
    <x v="1"/>
    <x v="2"/>
    <n v="3701"/>
    <n v="32.6"/>
    <n v="114"/>
    <n v="81"/>
    <b v="1"/>
    <b v="1"/>
  </r>
  <r>
    <x v="0"/>
    <n v="1"/>
    <s v="O R Tambo Coastal"/>
    <x v="2"/>
    <x v="0"/>
    <n v="2106"/>
    <n v="32.6"/>
    <n v="65"/>
    <n v="41"/>
    <b v="1"/>
    <b v="1"/>
  </r>
  <r>
    <x v="0"/>
    <n v="1"/>
    <s v="O R Tambo Coastal"/>
    <x v="2"/>
    <x v="1"/>
    <n v="2026"/>
    <n v="32.6"/>
    <n v="63"/>
    <n v="41"/>
    <b v="1"/>
    <b v="1"/>
  </r>
  <r>
    <x v="0"/>
    <n v="1"/>
    <s v="O R Tambo Coastal"/>
    <x v="2"/>
    <x v="2"/>
    <n v="1967"/>
    <n v="32.6"/>
    <n v="61"/>
    <n v="41"/>
    <b v="1"/>
    <b v="1"/>
  </r>
  <r>
    <x v="0"/>
    <n v="1"/>
    <s v="O R Tambo Coastal"/>
    <x v="3"/>
    <x v="0"/>
    <n v="310"/>
    <n v="32.6"/>
    <n v="10"/>
    <n v="2"/>
    <b v="0"/>
    <b v="1"/>
  </r>
  <r>
    <x v="0"/>
    <n v="1"/>
    <s v="O R Tambo Coastal"/>
    <x v="3"/>
    <x v="1"/>
    <n v="313"/>
    <n v="32.6"/>
    <n v="10"/>
    <n v="2"/>
    <b v="0"/>
    <b v="1"/>
  </r>
  <r>
    <x v="0"/>
    <n v="1"/>
    <s v="O R Tambo Coastal"/>
    <x v="3"/>
    <x v="2"/>
    <n v="338"/>
    <n v="32.6"/>
    <n v="11"/>
    <n v="2"/>
    <b v="0"/>
    <b v="1"/>
  </r>
  <r>
    <x v="0"/>
    <n v="1"/>
    <s v="O R Tambo Inland"/>
    <x v="0"/>
    <x v="0"/>
    <n v="4765"/>
    <n v="30.61"/>
    <n v="156"/>
    <n v="108"/>
    <b v="1"/>
    <b v="1"/>
  </r>
  <r>
    <x v="0"/>
    <n v="1"/>
    <s v="O R Tambo Inland"/>
    <x v="0"/>
    <x v="1"/>
    <n v="4380"/>
    <n v="30.61"/>
    <n v="144"/>
    <n v="108"/>
    <b v="1"/>
    <b v="1"/>
  </r>
  <r>
    <x v="0"/>
    <n v="1"/>
    <s v="O R Tambo Inland"/>
    <x v="0"/>
    <x v="2"/>
    <n v="4427"/>
    <n v="30.61"/>
    <n v="145"/>
    <n v="108"/>
    <b v="1"/>
    <b v="1"/>
  </r>
  <r>
    <x v="0"/>
    <n v="1"/>
    <s v="O R Tambo Inland"/>
    <x v="1"/>
    <x v="0"/>
    <n v="2053"/>
    <n v="30.61"/>
    <n v="68"/>
    <n v="52"/>
    <b v="1"/>
    <b v="1"/>
  </r>
  <r>
    <x v="0"/>
    <n v="1"/>
    <s v="O R Tambo Inland"/>
    <x v="1"/>
    <x v="1"/>
    <n v="1936"/>
    <n v="30.61"/>
    <n v="64"/>
    <n v="52"/>
    <b v="1"/>
    <b v="1"/>
  </r>
  <r>
    <x v="0"/>
    <n v="1"/>
    <s v="O R Tambo Inland"/>
    <x v="1"/>
    <x v="2"/>
    <n v="1997"/>
    <n v="30.61"/>
    <n v="66"/>
    <n v="52"/>
    <b v="1"/>
    <b v="1"/>
  </r>
  <r>
    <x v="0"/>
    <n v="1"/>
    <s v="O R Tambo Inland"/>
    <x v="2"/>
    <x v="0"/>
    <n v="4933"/>
    <n v="30.61"/>
    <n v="162"/>
    <n v="86"/>
    <b v="1"/>
    <b v="1"/>
  </r>
  <r>
    <x v="0"/>
    <n v="1"/>
    <s v="O R Tambo Inland"/>
    <x v="2"/>
    <x v="1"/>
    <n v="4857"/>
    <n v="30.61"/>
    <n v="159"/>
    <n v="86"/>
    <b v="1"/>
    <b v="1"/>
  </r>
  <r>
    <x v="0"/>
    <n v="1"/>
    <s v="O R Tambo Inland"/>
    <x v="2"/>
    <x v="2"/>
    <n v="5041"/>
    <n v="30.61"/>
    <n v="165"/>
    <n v="86"/>
    <b v="1"/>
    <b v="1"/>
  </r>
  <r>
    <x v="0"/>
    <n v="1"/>
    <s v="O R Tambo Inland"/>
    <x v="3"/>
    <x v="0"/>
    <n v="277"/>
    <n v="30.61"/>
    <n v="10"/>
    <n v="4"/>
    <b v="0"/>
    <b v="1"/>
  </r>
  <r>
    <x v="0"/>
    <n v="1"/>
    <s v="O R Tambo Inland"/>
    <x v="3"/>
    <x v="1"/>
    <n v="375"/>
    <n v="30.61"/>
    <n v="13"/>
    <n v="4"/>
    <b v="0"/>
    <b v="1"/>
  </r>
  <r>
    <x v="0"/>
    <n v="1"/>
    <s v="O R Tambo Inland"/>
    <x v="3"/>
    <x v="2"/>
    <n v="387"/>
    <n v="30.61"/>
    <n v="13"/>
    <n v="4"/>
    <b v="0"/>
    <b v="1"/>
  </r>
  <r>
    <x v="0"/>
    <n v="1"/>
    <s v="O R Tambo Inland"/>
    <x v="4"/>
    <x v="0"/>
    <n v="178"/>
    <n v="30.61"/>
    <n v="6"/>
    <n v="2"/>
    <b v="0"/>
    <b v="1"/>
  </r>
  <r>
    <x v="0"/>
    <n v="1"/>
    <s v="O R Tambo Inland"/>
    <x v="4"/>
    <x v="1"/>
    <n v="197"/>
    <n v="30.61"/>
    <n v="7"/>
    <n v="2"/>
    <b v="0"/>
    <b v="1"/>
  </r>
  <r>
    <x v="0"/>
    <n v="1"/>
    <s v="O R Tambo Inland"/>
    <x v="4"/>
    <x v="2"/>
    <n v="184"/>
    <n v="30.61"/>
    <n v="7"/>
    <n v="2"/>
    <b v="0"/>
    <b v="1"/>
  </r>
  <r>
    <x v="0"/>
    <n v="1"/>
    <s v="Sarah Baartman"/>
    <x v="1"/>
    <x v="0"/>
    <n v="634"/>
    <n v="32.68"/>
    <n v="20"/>
    <n v="10"/>
    <b v="1"/>
    <b v="1"/>
  </r>
  <r>
    <x v="0"/>
    <n v="1"/>
    <s v="Sarah Baartman"/>
    <x v="1"/>
    <x v="1"/>
    <n v="539"/>
    <n v="32.68"/>
    <n v="17"/>
    <n v="10"/>
    <b v="1"/>
    <b v="1"/>
  </r>
  <r>
    <x v="0"/>
    <n v="1"/>
    <s v="Sarah Baartman"/>
    <x v="1"/>
    <x v="2"/>
    <n v="491"/>
    <n v="32.68"/>
    <n v="16"/>
    <n v="10"/>
    <b v="1"/>
    <b v="1"/>
  </r>
  <r>
    <x v="0"/>
    <n v="1"/>
    <s v="Sarah Baartman"/>
    <x v="2"/>
    <x v="0"/>
    <n v="7326"/>
    <n v="32.68"/>
    <n v="225"/>
    <n v="84"/>
    <b v="1"/>
    <b v="1"/>
  </r>
  <r>
    <x v="0"/>
    <n v="1"/>
    <s v="Sarah Baartman"/>
    <x v="2"/>
    <x v="1"/>
    <n v="6719"/>
    <n v="32.68"/>
    <n v="206"/>
    <n v="84"/>
    <b v="1"/>
    <b v="1"/>
  </r>
  <r>
    <x v="0"/>
    <n v="1"/>
    <s v="Sarah Baartman"/>
    <x v="2"/>
    <x v="2"/>
    <n v="6629"/>
    <n v="32.68"/>
    <n v="203"/>
    <n v="84"/>
    <b v="1"/>
    <b v="1"/>
  </r>
  <r>
    <x v="0"/>
    <n v="1"/>
    <s v="Sarah Baartman"/>
    <x v="3"/>
    <x v="0"/>
    <n v="267"/>
    <n v="32.68"/>
    <n v="9"/>
    <n v="8"/>
    <b v="0"/>
    <b v="1"/>
  </r>
  <r>
    <x v="0"/>
    <n v="1"/>
    <s v="Sarah Baartman"/>
    <x v="3"/>
    <x v="1"/>
    <n v="265"/>
    <n v="32.68"/>
    <n v="9"/>
    <n v="8"/>
    <b v="0"/>
    <b v="1"/>
  </r>
  <r>
    <x v="0"/>
    <n v="1"/>
    <s v="Sarah Baartman"/>
    <x v="3"/>
    <x v="2"/>
    <n v="270"/>
    <n v="32.68"/>
    <n v="9"/>
    <n v="8"/>
    <b v="0"/>
    <b v="1"/>
  </r>
  <r>
    <x v="0"/>
    <n v="1"/>
    <s v="Sarah Baartman"/>
    <x v="4"/>
    <x v="0"/>
    <n v="482"/>
    <n v="32.68"/>
    <n v="15"/>
    <n v="9"/>
    <b v="0"/>
    <b v="1"/>
  </r>
  <r>
    <x v="0"/>
    <n v="1"/>
    <s v="Sarah Baartman"/>
    <x v="4"/>
    <x v="1"/>
    <n v="478"/>
    <n v="32.68"/>
    <n v="15"/>
    <n v="9"/>
    <b v="0"/>
    <b v="1"/>
  </r>
  <r>
    <x v="0"/>
    <n v="1"/>
    <s v="Sarah Baartman"/>
    <x v="4"/>
    <x v="2"/>
    <n v="465"/>
    <n v="32.68"/>
    <n v="15"/>
    <n v="9"/>
    <b v="0"/>
    <b v="1"/>
  </r>
  <r>
    <x v="1"/>
    <n v="2"/>
    <s v="Fezile Dabi"/>
    <x v="0"/>
    <x v="0"/>
    <n v="2336"/>
    <n v="31.83"/>
    <n v="74"/>
    <n v="15"/>
    <b v="1"/>
    <b v="1"/>
  </r>
  <r>
    <x v="1"/>
    <n v="2"/>
    <s v="Fezile Dabi"/>
    <x v="0"/>
    <x v="1"/>
    <n v="2312"/>
    <n v="31.83"/>
    <n v="73"/>
    <n v="15"/>
    <b v="1"/>
    <b v="1"/>
  </r>
  <r>
    <x v="1"/>
    <n v="2"/>
    <s v="Fezile Dabi"/>
    <x v="0"/>
    <x v="2"/>
    <n v="2247"/>
    <n v="31.83"/>
    <n v="71"/>
    <n v="15"/>
    <b v="1"/>
    <b v="1"/>
  </r>
  <r>
    <x v="1"/>
    <n v="2"/>
    <s v="Fezile Dabi"/>
    <x v="1"/>
    <x v="0"/>
    <n v="3188"/>
    <n v="31.83"/>
    <n v="101"/>
    <n v="23"/>
    <b v="1"/>
    <b v="1"/>
  </r>
  <r>
    <x v="1"/>
    <n v="2"/>
    <s v="Fezile Dabi"/>
    <x v="1"/>
    <x v="1"/>
    <n v="3004"/>
    <n v="31.83"/>
    <n v="95"/>
    <n v="23"/>
    <b v="1"/>
    <b v="1"/>
  </r>
  <r>
    <x v="1"/>
    <n v="2"/>
    <s v="Fezile Dabi"/>
    <x v="1"/>
    <x v="2"/>
    <n v="2937"/>
    <n v="31.83"/>
    <n v="93"/>
    <n v="23"/>
    <b v="1"/>
    <b v="1"/>
  </r>
  <r>
    <x v="1"/>
    <n v="2"/>
    <s v="Fezile Dabi"/>
    <x v="2"/>
    <x v="0"/>
    <n v="3546"/>
    <n v="31.83"/>
    <n v="112"/>
    <n v="29"/>
    <b v="1"/>
    <b v="1"/>
  </r>
  <r>
    <x v="1"/>
    <n v="2"/>
    <s v="Fezile Dabi"/>
    <x v="2"/>
    <x v="1"/>
    <n v="3493"/>
    <n v="31.83"/>
    <n v="110"/>
    <n v="29"/>
    <b v="1"/>
    <b v="1"/>
  </r>
  <r>
    <x v="1"/>
    <n v="2"/>
    <s v="Fezile Dabi"/>
    <x v="2"/>
    <x v="2"/>
    <n v="3407"/>
    <n v="31.83"/>
    <n v="108"/>
    <n v="29"/>
    <b v="1"/>
    <b v="1"/>
  </r>
  <r>
    <x v="1"/>
    <n v="2"/>
    <s v="Fezile Dabi"/>
    <x v="3"/>
    <x v="0"/>
    <n v="395"/>
    <n v="31.83"/>
    <n v="13"/>
    <n v="8"/>
    <b v="0"/>
    <b v="1"/>
  </r>
  <r>
    <x v="1"/>
    <n v="2"/>
    <s v="Fezile Dabi"/>
    <x v="3"/>
    <x v="1"/>
    <n v="364"/>
    <n v="31.83"/>
    <n v="12"/>
    <n v="8"/>
    <b v="0"/>
    <b v="1"/>
  </r>
  <r>
    <x v="1"/>
    <n v="2"/>
    <s v="Fezile Dabi"/>
    <x v="3"/>
    <x v="2"/>
    <n v="357"/>
    <n v="31.83"/>
    <n v="12"/>
    <n v="8"/>
    <b v="0"/>
    <b v="1"/>
  </r>
  <r>
    <x v="1"/>
    <n v="2"/>
    <s v="Fezile Dabi"/>
    <x v="4"/>
    <x v="0"/>
    <n v="755"/>
    <n v="31.83"/>
    <n v="24"/>
    <n v="9"/>
    <b v="0"/>
    <b v="1"/>
  </r>
  <r>
    <x v="1"/>
    <n v="2"/>
    <s v="Fezile Dabi"/>
    <x v="4"/>
    <x v="1"/>
    <n v="811"/>
    <n v="31.83"/>
    <n v="26"/>
    <n v="9"/>
    <b v="0"/>
    <b v="1"/>
  </r>
  <r>
    <x v="1"/>
    <n v="2"/>
    <s v="Fezile Dabi"/>
    <x v="4"/>
    <x v="2"/>
    <n v="769"/>
    <n v="31.83"/>
    <n v="25"/>
    <n v="9"/>
    <b v="0"/>
    <b v="1"/>
  </r>
  <r>
    <x v="1"/>
    <n v="2"/>
    <s v="Lejweleputswa"/>
    <x v="0"/>
    <x v="0"/>
    <n v="3996"/>
    <n v="32.56"/>
    <n v="123"/>
    <n v="29"/>
    <b v="1"/>
    <b v="1"/>
  </r>
  <r>
    <x v="1"/>
    <n v="2"/>
    <s v="Lejweleputswa"/>
    <x v="0"/>
    <x v="1"/>
    <n v="3873"/>
    <n v="32.56"/>
    <n v="119"/>
    <n v="29"/>
    <b v="1"/>
    <b v="1"/>
  </r>
  <r>
    <x v="1"/>
    <n v="2"/>
    <s v="Lejweleputswa"/>
    <x v="0"/>
    <x v="2"/>
    <n v="3787"/>
    <n v="32.56"/>
    <n v="117"/>
    <n v="29"/>
    <b v="1"/>
    <b v="1"/>
  </r>
  <r>
    <x v="1"/>
    <n v="2"/>
    <s v="Lejweleputswa"/>
    <x v="1"/>
    <x v="0"/>
    <n v="4619"/>
    <n v="32.56"/>
    <n v="142"/>
    <n v="36"/>
    <b v="1"/>
    <b v="1"/>
  </r>
  <r>
    <x v="1"/>
    <n v="2"/>
    <s v="Lejweleputswa"/>
    <x v="1"/>
    <x v="1"/>
    <n v="4739"/>
    <n v="32.56"/>
    <n v="146"/>
    <n v="36"/>
    <b v="1"/>
    <b v="1"/>
  </r>
  <r>
    <x v="1"/>
    <n v="2"/>
    <s v="Lejweleputswa"/>
    <x v="1"/>
    <x v="2"/>
    <n v="4415"/>
    <n v="32.56"/>
    <n v="136"/>
    <n v="36"/>
    <b v="1"/>
    <b v="1"/>
  </r>
  <r>
    <x v="1"/>
    <n v="2"/>
    <s v="Lejweleputswa"/>
    <x v="2"/>
    <x v="0"/>
    <n v="2872"/>
    <n v="32.56"/>
    <n v="89"/>
    <n v="25"/>
    <b v="1"/>
    <b v="1"/>
  </r>
  <r>
    <x v="1"/>
    <n v="2"/>
    <s v="Lejweleputswa"/>
    <x v="2"/>
    <x v="1"/>
    <n v="2567"/>
    <n v="32.56"/>
    <n v="79"/>
    <n v="25"/>
    <b v="1"/>
    <b v="1"/>
  </r>
  <r>
    <x v="1"/>
    <n v="2"/>
    <s v="Lejweleputswa"/>
    <x v="2"/>
    <x v="2"/>
    <n v="2510"/>
    <n v="32.56"/>
    <n v="78"/>
    <n v="25"/>
    <b v="1"/>
    <b v="1"/>
  </r>
  <r>
    <x v="1"/>
    <n v="2"/>
    <s v="Lejweleputswa"/>
    <x v="3"/>
    <x v="0"/>
    <n v="392"/>
    <n v="32.56"/>
    <n v="13"/>
    <n v="5"/>
    <b v="0"/>
    <b v="1"/>
  </r>
  <r>
    <x v="1"/>
    <n v="2"/>
    <s v="Lejweleputswa"/>
    <x v="3"/>
    <x v="1"/>
    <n v="407"/>
    <n v="32.56"/>
    <n v="13"/>
    <n v="5"/>
    <b v="0"/>
    <b v="1"/>
  </r>
  <r>
    <x v="1"/>
    <n v="2"/>
    <s v="Lejweleputswa"/>
    <x v="3"/>
    <x v="2"/>
    <n v="392"/>
    <n v="32.56"/>
    <n v="13"/>
    <n v="5"/>
    <b v="0"/>
    <b v="1"/>
  </r>
  <r>
    <x v="1"/>
    <n v="2"/>
    <s v="Lejweleputswa"/>
    <x v="4"/>
    <x v="0"/>
    <n v="1537"/>
    <n v="32.56"/>
    <n v="48"/>
    <n v="19"/>
    <b v="0"/>
    <b v="1"/>
  </r>
  <r>
    <x v="1"/>
    <n v="2"/>
    <s v="Lejweleputswa"/>
    <x v="4"/>
    <x v="1"/>
    <n v="1546"/>
    <n v="32.56"/>
    <n v="48"/>
    <n v="19"/>
    <b v="0"/>
    <b v="1"/>
  </r>
  <r>
    <x v="1"/>
    <n v="2"/>
    <s v="Lejweleputswa"/>
    <x v="4"/>
    <x v="2"/>
    <n v="1518"/>
    <n v="32.56"/>
    <n v="47"/>
    <n v="19"/>
    <b v="0"/>
    <b v="1"/>
  </r>
  <r>
    <x v="1"/>
    <n v="2"/>
    <s v="Motheo"/>
    <x v="0"/>
    <x v="0"/>
    <n v="1343"/>
    <n v="32.020000000000003"/>
    <n v="42"/>
    <n v="15"/>
    <b v="1"/>
    <b v="1"/>
  </r>
  <r>
    <x v="1"/>
    <n v="2"/>
    <s v="Motheo"/>
    <x v="0"/>
    <x v="1"/>
    <n v="1204"/>
    <n v="32.020000000000003"/>
    <n v="38"/>
    <n v="15"/>
    <b v="1"/>
    <b v="1"/>
  </r>
  <r>
    <x v="1"/>
    <n v="2"/>
    <s v="Motheo"/>
    <x v="0"/>
    <x v="2"/>
    <n v="1150"/>
    <n v="32.020000000000003"/>
    <n v="36"/>
    <n v="15"/>
    <b v="1"/>
    <b v="1"/>
  </r>
  <r>
    <x v="1"/>
    <n v="2"/>
    <s v="Motheo"/>
    <x v="1"/>
    <x v="0"/>
    <n v="2572"/>
    <n v="32.020000000000003"/>
    <n v="81"/>
    <n v="19"/>
    <b v="1"/>
    <b v="1"/>
  </r>
  <r>
    <x v="1"/>
    <n v="2"/>
    <s v="Motheo"/>
    <x v="1"/>
    <x v="1"/>
    <n v="2811"/>
    <n v="32.020000000000003"/>
    <n v="88"/>
    <n v="19"/>
    <b v="1"/>
    <b v="1"/>
  </r>
  <r>
    <x v="1"/>
    <n v="2"/>
    <s v="Motheo"/>
    <x v="1"/>
    <x v="2"/>
    <n v="2423"/>
    <n v="32.020000000000003"/>
    <n v="76"/>
    <n v="19"/>
    <b v="1"/>
    <b v="1"/>
  </r>
  <r>
    <x v="1"/>
    <n v="2"/>
    <s v="Motheo"/>
    <x v="2"/>
    <x v="0"/>
    <n v="6071"/>
    <n v="32.020000000000003"/>
    <n v="190"/>
    <n v="49"/>
    <b v="1"/>
    <b v="1"/>
  </r>
  <r>
    <x v="1"/>
    <n v="2"/>
    <s v="Motheo"/>
    <x v="2"/>
    <x v="1"/>
    <n v="6107"/>
    <n v="32.020000000000003"/>
    <n v="191"/>
    <n v="49"/>
    <b v="1"/>
    <b v="1"/>
  </r>
  <r>
    <x v="1"/>
    <n v="2"/>
    <s v="Motheo"/>
    <x v="2"/>
    <x v="2"/>
    <n v="6053"/>
    <n v="32.020000000000003"/>
    <n v="190"/>
    <n v="49"/>
    <b v="1"/>
    <b v="1"/>
  </r>
  <r>
    <x v="1"/>
    <n v="2"/>
    <s v="Motheo"/>
    <x v="3"/>
    <x v="0"/>
    <n v="1369"/>
    <n v="32.020000000000003"/>
    <n v="43"/>
    <n v="12"/>
    <b v="0"/>
    <b v="1"/>
  </r>
  <r>
    <x v="1"/>
    <n v="2"/>
    <s v="Motheo"/>
    <x v="3"/>
    <x v="1"/>
    <n v="1346"/>
    <n v="32.020000000000003"/>
    <n v="43"/>
    <n v="12"/>
    <b v="0"/>
    <b v="1"/>
  </r>
  <r>
    <x v="1"/>
    <n v="2"/>
    <s v="Motheo"/>
    <x v="3"/>
    <x v="2"/>
    <n v="1382"/>
    <n v="32.020000000000003"/>
    <n v="44"/>
    <n v="12"/>
    <b v="0"/>
    <b v="1"/>
  </r>
  <r>
    <x v="1"/>
    <n v="2"/>
    <s v="Motheo"/>
    <x v="4"/>
    <x v="0"/>
    <n v="2697"/>
    <n v="32.020000000000003"/>
    <n v="85"/>
    <n v="23"/>
    <b v="0"/>
    <b v="1"/>
  </r>
  <r>
    <x v="1"/>
    <n v="2"/>
    <s v="Motheo"/>
    <x v="4"/>
    <x v="1"/>
    <n v="2584"/>
    <n v="32.020000000000003"/>
    <n v="81"/>
    <n v="23"/>
    <b v="0"/>
    <b v="1"/>
  </r>
  <r>
    <x v="1"/>
    <n v="2"/>
    <s v="Motheo"/>
    <x v="4"/>
    <x v="2"/>
    <n v="2603"/>
    <n v="32.020000000000003"/>
    <n v="82"/>
    <n v="23"/>
    <b v="0"/>
    <b v="1"/>
  </r>
  <r>
    <x v="1"/>
    <n v="2"/>
    <s v="Thabo Mofutsanyana"/>
    <x v="0"/>
    <x v="0"/>
    <n v="7685"/>
    <n v="34.200000000000003"/>
    <n v="225"/>
    <n v="68"/>
    <b v="1"/>
    <b v="1"/>
  </r>
  <r>
    <x v="1"/>
    <n v="2"/>
    <s v="Thabo Mofutsanyana"/>
    <x v="0"/>
    <x v="1"/>
    <n v="6834"/>
    <n v="34.200000000000003"/>
    <n v="200"/>
    <n v="68"/>
    <b v="1"/>
    <b v="1"/>
  </r>
  <r>
    <x v="1"/>
    <n v="2"/>
    <s v="Thabo Mofutsanyana"/>
    <x v="0"/>
    <x v="2"/>
    <n v="7056"/>
    <n v="34.200000000000003"/>
    <n v="207"/>
    <n v="68"/>
    <b v="1"/>
    <b v="1"/>
  </r>
  <r>
    <x v="1"/>
    <n v="2"/>
    <s v="Thabo Mofutsanyana"/>
    <x v="1"/>
    <x v="0"/>
    <n v="1969"/>
    <n v="34.200000000000003"/>
    <n v="58"/>
    <n v="14"/>
    <b v="1"/>
    <b v="1"/>
  </r>
  <r>
    <x v="1"/>
    <n v="2"/>
    <s v="Thabo Mofutsanyana"/>
    <x v="1"/>
    <x v="1"/>
    <n v="1822"/>
    <n v="34.200000000000003"/>
    <n v="54"/>
    <n v="14"/>
    <b v="1"/>
    <b v="1"/>
  </r>
  <r>
    <x v="1"/>
    <n v="2"/>
    <s v="Thabo Mofutsanyana"/>
    <x v="1"/>
    <x v="2"/>
    <n v="1936"/>
    <n v="34.200000000000003"/>
    <n v="57"/>
    <n v="14"/>
    <b v="1"/>
    <b v="1"/>
  </r>
  <r>
    <x v="1"/>
    <n v="2"/>
    <s v="Thabo Mofutsanyana"/>
    <x v="2"/>
    <x v="0"/>
    <n v="3773"/>
    <n v="34.200000000000003"/>
    <n v="111"/>
    <n v="30"/>
    <b v="1"/>
    <b v="1"/>
  </r>
  <r>
    <x v="1"/>
    <n v="2"/>
    <s v="Thabo Mofutsanyana"/>
    <x v="2"/>
    <x v="1"/>
    <n v="3605"/>
    <n v="34.200000000000003"/>
    <n v="106"/>
    <n v="30"/>
    <b v="1"/>
    <b v="1"/>
  </r>
  <r>
    <x v="1"/>
    <n v="2"/>
    <s v="Thabo Mofutsanyana"/>
    <x v="2"/>
    <x v="2"/>
    <n v="3530"/>
    <n v="34.200000000000003"/>
    <n v="104"/>
    <n v="30"/>
    <b v="1"/>
    <b v="1"/>
  </r>
  <r>
    <x v="1"/>
    <n v="2"/>
    <s v="Thabo Mofutsanyana"/>
    <x v="3"/>
    <x v="0"/>
    <n v="641"/>
    <n v="34.200000000000003"/>
    <n v="19"/>
    <n v="9"/>
    <b v="0"/>
    <b v="1"/>
  </r>
  <r>
    <x v="1"/>
    <n v="2"/>
    <s v="Thabo Mofutsanyana"/>
    <x v="3"/>
    <x v="1"/>
    <n v="635"/>
    <n v="34.200000000000003"/>
    <n v="19"/>
    <n v="9"/>
    <b v="0"/>
    <b v="1"/>
  </r>
  <r>
    <x v="1"/>
    <n v="2"/>
    <s v="Thabo Mofutsanyana"/>
    <x v="3"/>
    <x v="2"/>
    <n v="679"/>
    <n v="34.200000000000003"/>
    <n v="20"/>
    <n v="9"/>
    <b v="0"/>
    <b v="1"/>
  </r>
  <r>
    <x v="1"/>
    <n v="2"/>
    <s v="Thabo Mofutsanyana"/>
    <x v="4"/>
    <x v="0"/>
    <n v="360"/>
    <n v="34.200000000000003"/>
    <n v="11"/>
    <n v="4"/>
    <b v="0"/>
    <b v="1"/>
  </r>
  <r>
    <x v="1"/>
    <n v="2"/>
    <s v="Thabo Mofutsanyana"/>
    <x v="4"/>
    <x v="1"/>
    <n v="313"/>
    <n v="34.200000000000003"/>
    <n v="10"/>
    <n v="4"/>
    <b v="0"/>
    <b v="1"/>
  </r>
  <r>
    <x v="1"/>
    <n v="2"/>
    <s v="Thabo Mofutsanyana"/>
    <x v="4"/>
    <x v="2"/>
    <n v="341"/>
    <n v="34.200000000000003"/>
    <n v="10"/>
    <n v="4"/>
    <b v="0"/>
    <b v="1"/>
  </r>
  <r>
    <x v="1"/>
    <n v="2"/>
    <s v="Xhariep"/>
    <x v="0"/>
    <x v="0"/>
    <n v="903"/>
    <n v="28.45"/>
    <n v="32"/>
    <n v="8"/>
    <b v="1"/>
    <b v="1"/>
  </r>
  <r>
    <x v="1"/>
    <n v="2"/>
    <s v="Xhariep"/>
    <x v="0"/>
    <x v="1"/>
    <n v="821"/>
    <n v="28.45"/>
    <n v="29"/>
    <n v="8"/>
    <b v="1"/>
    <b v="1"/>
  </r>
  <r>
    <x v="1"/>
    <n v="2"/>
    <s v="Xhariep"/>
    <x v="0"/>
    <x v="2"/>
    <n v="749"/>
    <n v="28.45"/>
    <n v="27"/>
    <n v="8"/>
    <b v="1"/>
    <b v="1"/>
  </r>
  <r>
    <x v="1"/>
    <n v="2"/>
    <s v="Xhariep"/>
    <x v="1"/>
    <x v="0"/>
    <n v="1495"/>
    <n v="28.45"/>
    <n v="53"/>
    <n v="17"/>
    <b v="1"/>
    <b v="1"/>
  </r>
  <r>
    <x v="1"/>
    <n v="2"/>
    <s v="Xhariep"/>
    <x v="1"/>
    <x v="1"/>
    <n v="1374"/>
    <n v="28.45"/>
    <n v="49"/>
    <n v="17"/>
    <b v="1"/>
    <b v="1"/>
  </r>
  <r>
    <x v="1"/>
    <n v="2"/>
    <s v="Xhariep"/>
    <x v="1"/>
    <x v="2"/>
    <n v="1347"/>
    <n v="28.45"/>
    <n v="48"/>
    <n v="17"/>
    <b v="1"/>
    <b v="1"/>
  </r>
  <r>
    <x v="1"/>
    <n v="2"/>
    <s v="Xhariep"/>
    <x v="2"/>
    <x v="0"/>
    <n v="352"/>
    <n v="28.45"/>
    <n v="13"/>
    <n v="5"/>
    <b v="1"/>
    <b v="1"/>
  </r>
  <r>
    <x v="1"/>
    <n v="2"/>
    <s v="Xhariep"/>
    <x v="2"/>
    <x v="1"/>
    <n v="316"/>
    <n v="28.45"/>
    <n v="12"/>
    <n v="5"/>
    <b v="1"/>
    <b v="1"/>
  </r>
  <r>
    <x v="1"/>
    <n v="2"/>
    <s v="Xhariep"/>
    <x v="2"/>
    <x v="2"/>
    <n v="322"/>
    <n v="28.45"/>
    <n v="12"/>
    <n v="5"/>
    <b v="1"/>
    <b v="1"/>
  </r>
  <r>
    <x v="1"/>
    <n v="2"/>
    <s v="Xhariep"/>
    <x v="3"/>
    <x v="0"/>
    <n v="105"/>
    <n v="28.45"/>
    <n v="4"/>
    <n v="3"/>
    <b v="0"/>
    <b v="1"/>
  </r>
  <r>
    <x v="1"/>
    <n v="2"/>
    <s v="Xhariep"/>
    <x v="3"/>
    <x v="1"/>
    <n v="89"/>
    <n v="28.45"/>
    <n v="4"/>
    <n v="3"/>
    <b v="0"/>
    <b v="1"/>
  </r>
  <r>
    <x v="1"/>
    <n v="2"/>
    <s v="Xhariep"/>
    <x v="3"/>
    <x v="2"/>
    <n v="116"/>
    <n v="28.45"/>
    <n v="5"/>
    <n v="3"/>
    <b v="0"/>
    <b v="1"/>
  </r>
  <r>
    <x v="2"/>
    <n v="3"/>
    <s v="Ekurhuleni North"/>
    <x v="0"/>
    <x v="0"/>
    <n v="1830"/>
    <n v="32.299999999999997"/>
    <n v="57"/>
    <n v="10"/>
    <b v="1"/>
    <b v="1"/>
  </r>
  <r>
    <x v="2"/>
    <n v="3"/>
    <s v="Ekurhuleni North"/>
    <x v="0"/>
    <x v="1"/>
    <n v="1838"/>
    <n v="32.299999999999997"/>
    <n v="57"/>
    <n v="10"/>
    <b v="1"/>
    <b v="1"/>
  </r>
  <r>
    <x v="2"/>
    <n v="3"/>
    <s v="Ekurhuleni North"/>
    <x v="0"/>
    <x v="2"/>
    <n v="1787"/>
    <n v="32.299999999999997"/>
    <n v="56"/>
    <n v="10"/>
    <b v="1"/>
    <b v="1"/>
  </r>
  <r>
    <x v="2"/>
    <n v="3"/>
    <s v="Ekurhuleni North"/>
    <x v="1"/>
    <x v="0"/>
    <n v="91"/>
    <n v="32.299999999999997"/>
    <n v="3"/>
    <n v="2"/>
    <b v="1"/>
    <b v="1"/>
  </r>
  <r>
    <x v="2"/>
    <n v="3"/>
    <s v="Ekurhuleni North"/>
    <x v="1"/>
    <x v="1"/>
    <n v="82"/>
    <n v="32.299999999999997"/>
    <n v="3"/>
    <n v="2"/>
    <b v="1"/>
    <b v="1"/>
  </r>
  <r>
    <x v="2"/>
    <n v="3"/>
    <s v="Ekurhuleni North"/>
    <x v="1"/>
    <x v="2"/>
    <n v="76"/>
    <n v="32.299999999999997"/>
    <n v="3"/>
    <n v="2"/>
    <b v="1"/>
    <b v="1"/>
  </r>
  <r>
    <x v="2"/>
    <n v="3"/>
    <s v="Ekurhuleni North"/>
    <x v="2"/>
    <x v="0"/>
    <n v="4369"/>
    <n v="32.299999999999997"/>
    <n v="136"/>
    <n v="25"/>
    <b v="1"/>
    <b v="1"/>
  </r>
  <r>
    <x v="2"/>
    <n v="3"/>
    <s v="Ekurhuleni North"/>
    <x v="2"/>
    <x v="1"/>
    <n v="4112"/>
    <n v="32.299999999999997"/>
    <n v="128"/>
    <n v="25"/>
    <b v="1"/>
    <b v="1"/>
  </r>
  <r>
    <x v="2"/>
    <n v="3"/>
    <s v="Ekurhuleni North"/>
    <x v="2"/>
    <x v="2"/>
    <n v="3974"/>
    <n v="32.299999999999997"/>
    <n v="124"/>
    <n v="25"/>
    <b v="1"/>
    <b v="1"/>
  </r>
  <r>
    <x v="2"/>
    <n v="3"/>
    <s v="Ekurhuleni North"/>
    <x v="3"/>
    <x v="0"/>
    <n v="3902"/>
    <n v="32.299999999999997"/>
    <n v="121"/>
    <n v="21"/>
    <b v="0"/>
    <b v="1"/>
  </r>
  <r>
    <x v="2"/>
    <n v="3"/>
    <s v="Ekurhuleni North"/>
    <x v="3"/>
    <x v="1"/>
    <n v="3472"/>
    <n v="32.299999999999997"/>
    <n v="108"/>
    <n v="21"/>
    <b v="0"/>
    <b v="1"/>
  </r>
  <r>
    <x v="2"/>
    <n v="3"/>
    <s v="Ekurhuleni North"/>
    <x v="3"/>
    <x v="2"/>
    <n v="3391"/>
    <n v="32.299999999999997"/>
    <n v="105"/>
    <n v="21"/>
    <b v="0"/>
    <b v="1"/>
  </r>
  <r>
    <x v="2"/>
    <n v="3"/>
    <s v="Ekurhuleni North"/>
    <x v="4"/>
    <x v="0"/>
    <n v="8489"/>
    <n v="32.299999999999997"/>
    <n v="263"/>
    <n v="52"/>
    <b v="0"/>
    <b v="1"/>
  </r>
  <r>
    <x v="2"/>
    <n v="3"/>
    <s v="Ekurhuleni North"/>
    <x v="4"/>
    <x v="1"/>
    <n v="7822"/>
    <n v="32.299999999999997"/>
    <n v="243"/>
    <n v="52"/>
    <b v="0"/>
    <b v="1"/>
  </r>
  <r>
    <x v="2"/>
    <n v="3"/>
    <s v="Ekurhuleni North"/>
    <x v="4"/>
    <x v="2"/>
    <n v="7533"/>
    <n v="32.299999999999997"/>
    <n v="234"/>
    <n v="52"/>
    <b v="0"/>
    <b v="1"/>
  </r>
  <r>
    <x v="2"/>
    <n v="3"/>
    <s v="Ekurhuleni South"/>
    <x v="0"/>
    <x v="0"/>
    <n v="2460"/>
    <n v="34.200000000000003"/>
    <n v="72"/>
    <n v="9"/>
    <b v="1"/>
    <b v="1"/>
  </r>
  <r>
    <x v="2"/>
    <n v="3"/>
    <s v="Ekurhuleni South"/>
    <x v="0"/>
    <x v="1"/>
    <n v="2249"/>
    <n v="34.200000000000003"/>
    <n v="66"/>
    <n v="9"/>
    <b v="1"/>
    <b v="1"/>
  </r>
  <r>
    <x v="2"/>
    <n v="3"/>
    <s v="Ekurhuleni South"/>
    <x v="0"/>
    <x v="2"/>
    <n v="1920"/>
    <n v="34.200000000000003"/>
    <n v="57"/>
    <n v="9"/>
    <b v="1"/>
    <b v="1"/>
  </r>
  <r>
    <x v="2"/>
    <n v="3"/>
    <s v="Ekurhuleni South"/>
    <x v="1"/>
    <x v="0"/>
    <n v="2120"/>
    <n v="34.200000000000003"/>
    <n v="62"/>
    <n v="10"/>
    <b v="1"/>
    <b v="1"/>
  </r>
  <r>
    <x v="2"/>
    <n v="3"/>
    <s v="Ekurhuleni South"/>
    <x v="1"/>
    <x v="1"/>
    <n v="2040"/>
    <n v="34.200000000000003"/>
    <n v="60"/>
    <n v="10"/>
    <b v="1"/>
    <b v="1"/>
  </r>
  <r>
    <x v="2"/>
    <n v="3"/>
    <s v="Ekurhuleni South"/>
    <x v="1"/>
    <x v="2"/>
    <n v="1954"/>
    <n v="34.200000000000003"/>
    <n v="58"/>
    <n v="10"/>
    <b v="1"/>
    <b v="1"/>
  </r>
  <r>
    <x v="2"/>
    <n v="3"/>
    <s v="Ekurhuleni South"/>
    <x v="2"/>
    <x v="0"/>
    <n v="6931"/>
    <n v="34.200000000000003"/>
    <n v="203"/>
    <n v="40"/>
    <b v="1"/>
    <b v="1"/>
  </r>
  <r>
    <x v="2"/>
    <n v="3"/>
    <s v="Ekurhuleni South"/>
    <x v="2"/>
    <x v="1"/>
    <n v="6444"/>
    <n v="34.200000000000003"/>
    <n v="189"/>
    <n v="40"/>
    <b v="1"/>
    <b v="1"/>
  </r>
  <r>
    <x v="2"/>
    <n v="3"/>
    <s v="Ekurhuleni South"/>
    <x v="2"/>
    <x v="2"/>
    <n v="6375"/>
    <n v="34.200000000000003"/>
    <n v="187"/>
    <n v="40"/>
    <b v="1"/>
    <b v="1"/>
  </r>
  <r>
    <x v="2"/>
    <n v="3"/>
    <s v="Ekurhuleni South"/>
    <x v="3"/>
    <x v="0"/>
    <n v="6556"/>
    <n v="34.200000000000003"/>
    <n v="192"/>
    <n v="26"/>
    <b v="0"/>
    <b v="1"/>
  </r>
  <r>
    <x v="2"/>
    <n v="3"/>
    <s v="Ekurhuleni South"/>
    <x v="3"/>
    <x v="1"/>
    <n v="5716"/>
    <n v="34.200000000000003"/>
    <n v="168"/>
    <n v="26"/>
    <b v="0"/>
    <b v="1"/>
  </r>
  <r>
    <x v="2"/>
    <n v="3"/>
    <s v="Ekurhuleni South"/>
    <x v="3"/>
    <x v="2"/>
    <n v="5371"/>
    <n v="34.200000000000003"/>
    <n v="158"/>
    <n v="26"/>
    <b v="0"/>
    <b v="1"/>
  </r>
  <r>
    <x v="2"/>
    <n v="3"/>
    <s v="Ekurhuleni South"/>
    <x v="4"/>
    <x v="0"/>
    <n v="6027"/>
    <n v="34.200000000000003"/>
    <n v="177"/>
    <n v="33"/>
    <b v="0"/>
    <b v="1"/>
  </r>
  <r>
    <x v="2"/>
    <n v="3"/>
    <s v="Ekurhuleni South"/>
    <x v="4"/>
    <x v="1"/>
    <n v="5721"/>
    <n v="34.200000000000003"/>
    <n v="168"/>
    <n v="33"/>
    <b v="0"/>
    <b v="1"/>
  </r>
  <r>
    <x v="2"/>
    <n v="3"/>
    <s v="Ekurhuleni South"/>
    <x v="4"/>
    <x v="2"/>
    <n v="5649"/>
    <n v="34.200000000000003"/>
    <n v="166"/>
    <n v="33"/>
    <b v="0"/>
    <b v="1"/>
  </r>
  <r>
    <x v="2"/>
    <n v="3"/>
    <s v="Gauteng East"/>
    <x v="0"/>
    <x v="0"/>
    <n v="524"/>
    <n v="33.159999999999997"/>
    <n v="16"/>
    <n v="3"/>
    <b v="1"/>
    <b v="1"/>
  </r>
  <r>
    <x v="2"/>
    <n v="3"/>
    <s v="Gauteng East"/>
    <x v="0"/>
    <x v="1"/>
    <n v="543"/>
    <n v="33.159999999999997"/>
    <n v="17"/>
    <n v="3"/>
    <b v="1"/>
    <b v="1"/>
  </r>
  <r>
    <x v="2"/>
    <n v="3"/>
    <s v="Gauteng East"/>
    <x v="0"/>
    <x v="2"/>
    <n v="563"/>
    <n v="33.159999999999997"/>
    <n v="17"/>
    <n v="3"/>
    <b v="1"/>
    <b v="1"/>
  </r>
  <r>
    <x v="2"/>
    <n v="3"/>
    <s v="Gauteng East"/>
    <x v="1"/>
    <x v="0"/>
    <n v="3182"/>
    <n v="33.159999999999997"/>
    <n v="96"/>
    <n v="17"/>
    <b v="1"/>
    <b v="1"/>
  </r>
  <r>
    <x v="2"/>
    <n v="3"/>
    <s v="Gauteng East"/>
    <x v="1"/>
    <x v="1"/>
    <n v="3042"/>
    <n v="33.159999999999997"/>
    <n v="92"/>
    <n v="17"/>
    <b v="1"/>
    <b v="1"/>
  </r>
  <r>
    <x v="2"/>
    <n v="3"/>
    <s v="Gauteng East"/>
    <x v="1"/>
    <x v="2"/>
    <n v="2946"/>
    <n v="33.159999999999997"/>
    <n v="89"/>
    <n v="17"/>
    <b v="1"/>
    <b v="1"/>
  </r>
  <r>
    <x v="2"/>
    <n v="3"/>
    <s v="Gauteng East"/>
    <x v="2"/>
    <x v="0"/>
    <n v="5845"/>
    <n v="33.159999999999997"/>
    <n v="177"/>
    <n v="40"/>
    <b v="1"/>
    <b v="1"/>
  </r>
  <r>
    <x v="2"/>
    <n v="3"/>
    <s v="Gauteng East"/>
    <x v="2"/>
    <x v="1"/>
    <n v="5274"/>
    <n v="33.159999999999997"/>
    <n v="160"/>
    <n v="40"/>
    <b v="1"/>
    <b v="1"/>
  </r>
  <r>
    <x v="2"/>
    <n v="3"/>
    <s v="Gauteng East"/>
    <x v="2"/>
    <x v="2"/>
    <n v="5008"/>
    <n v="33.159999999999997"/>
    <n v="152"/>
    <n v="40"/>
    <b v="1"/>
    <b v="1"/>
  </r>
  <r>
    <x v="2"/>
    <n v="3"/>
    <s v="Gauteng East"/>
    <x v="3"/>
    <x v="0"/>
    <n v="3758"/>
    <n v="33.159999999999997"/>
    <n v="114"/>
    <n v="24"/>
    <b v="0"/>
    <b v="1"/>
  </r>
  <r>
    <x v="2"/>
    <n v="3"/>
    <s v="Gauteng East"/>
    <x v="3"/>
    <x v="1"/>
    <n v="3547"/>
    <n v="33.159999999999997"/>
    <n v="107"/>
    <n v="24"/>
    <b v="0"/>
    <b v="1"/>
  </r>
  <r>
    <x v="2"/>
    <n v="3"/>
    <s v="Gauteng East"/>
    <x v="3"/>
    <x v="2"/>
    <n v="3335"/>
    <n v="33.159999999999997"/>
    <n v="101"/>
    <n v="24"/>
    <b v="0"/>
    <b v="1"/>
  </r>
  <r>
    <x v="2"/>
    <n v="3"/>
    <s v="Gauteng East"/>
    <x v="4"/>
    <x v="0"/>
    <n v="4088"/>
    <n v="33.159999999999997"/>
    <n v="124"/>
    <n v="28"/>
    <b v="0"/>
    <b v="1"/>
  </r>
  <r>
    <x v="2"/>
    <n v="3"/>
    <s v="Gauteng East"/>
    <x v="4"/>
    <x v="1"/>
    <n v="3784"/>
    <n v="33.159999999999997"/>
    <n v="115"/>
    <n v="28"/>
    <b v="0"/>
    <b v="1"/>
  </r>
  <r>
    <x v="2"/>
    <n v="3"/>
    <s v="Gauteng East"/>
    <x v="4"/>
    <x v="2"/>
    <n v="3626"/>
    <n v="33.159999999999997"/>
    <n v="110"/>
    <n v="28"/>
    <b v="0"/>
    <b v="1"/>
  </r>
  <r>
    <x v="2"/>
    <n v="3"/>
    <s v="Gauteng North"/>
    <x v="0"/>
    <x v="0"/>
    <n v="1146"/>
    <n v="30.59"/>
    <n v="38"/>
    <n v="8"/>
    <b v="1"/>
    <b v="1"/>
  </r>
  <r>
    <x v="2"/>
    <n v="3"/>
    <s v="Gauteng North"/>
    <x v="0"/>
    <x v="1"/>
    <n v="1038"/>
    <n v="30.59"/>
    <n v="34"/>
    <n v="8"/>
    <b v="1"/>
    <b v="1"/>
  </r>
  <r>
    <x v="2"/>
    <n v="3"/>
    <s v="Gauteng North"/>
    <x v="0"/>
    <x v="2"/>
    <n v="987"/>
    <n v="30.59"/>
    <n v="33"/>
    <n v="8"/>
    <b v="1"/>
    <b v="1"/>
  </r>
  <r>
    <x v="2"/>
    <n v="3"/>
    <s v="Gauteng North"/>
    <x v="1"/>
    <x v="0"/>
    <n v="1575"/>
    <n v="30.59"/>
    <n v="52"/>
    <n v="9"/>
    <b v="1"/>
    <b v="1"/>
  </r>
  <r>
    <x v="2"/>
    <n v="3"/>
    <s v="Gauteng North"/>
    <x v="1"/>
    <x v="1"/>
    <n v="1332"/>
    <n v="30.59"/>
    <n v="44"/>
    <n v="9"/>
    <b v="1"/>
    <b v="1"/>
  </r>
  <r>
    <x v="2"/>
    <n v="3"/>
    <s v="Gauteng North"/>
    <x v="1"/>
    <x v="2"/>
    <n v="1166"/>
    <n v="30.59"/>
    <n v="39"/>
    <n v="9"/>
    <b v="1"/>
    <b v="1"/>
  </r>
  <r>
    <x v="2"/>
    <n v="3"/>
    <s v="Gauteng North"/>
    <x v="2"/>
    <x v="0"/>
    <n v="885"/>
    <n v="30.59"/>
    <n v="29"/>
    <n v="5"/>
    <b v="1"/>
    <b v="1"/>
  </r>
  <r>
    <x v="2"/>
    <n v="3"/>
    <s v="Gauteng North"/>
    <x v="2"/>
    <x v="1"/>
    <n v="861"/>
    <n v="30.59"/>
    <n v="29"/>
    <n v="5"/>
    <b v="1"/>
    <b v="1"/>
  </r>
  <r>
    <x v="2"/>
    <n v="3"/>
    <s v="Gauteng North"/>
    <x v="2"/>
    <x v="2"/>
    <n v="779"/>
    <n v="30.59"/>
    <n v="26"/>
    <n v="5"/>
    <b v="1"/>
    <b v="1"/>
  </r>
  <r>
    <x v="2"/>
    <n v="3"/>
    <s v="Gauteng North"/>
    <x v="3"/>
    <x v="0"/>
    <n v="299"/>
    <n v="30.59"/>
    <n v="10"/>
    <n v="2"/>
    <b v="0"/>
    <b v="1"/>
  </r>
  <r>
    <x v="2"/>
    <n v="3"/>
    <s v="Gauteng North"/>
    <x v="3"/>
    <x v="1"/>
    <n v="278"/>
    <n v="30.59"/>
    <n v="10"/>
    <n v="2"/>
    <b v="0"/>
    <b v="1"/>
  </r>
  <r>
    <x v="2"/>
    <n v="3"/>
    <s v="Gauteng North"/>
    <x v="3"/>
    <x v="2"/>
    <n v="277"/>
    <n v="30.59"/>
    <n v="10"/>
    <n v="2"/>
    <b v="0"/>
    <b v="1"/>
  </r>
  <r>
    <x v="2"/>
    <n v="3"/>
    <s v="Gauteng North"/>
    <x v="4"/>
    <x v="0"/>
    <n v="765"/>
    <n v="30.59"/>
    <n v="26"/>
    <n v="7"/>
    <b v="0"/>
    <b v="1"/>
  </r>
  <r>
    <x v="2"/>
    <n v="3"/>
    <s v="Gauteng North"/>
    <x v="4"/>
    <x v="1"/>
    <n v="691"/>
    <n v="30.59"/>
    <n v="23"/>
    <n v="7"/>
    <b v="0"/>
    <b v="1"/>
  </r>
  <r>
    <x v="2"/>
    <n v="3"/>
    <s v="Gauteng North"/>
    <x v="4"/>
    <x v="2"/>
    <n v="687"/>
    <n v="30.59"/>
    <n v="23"/>
    <n v="7"/>
    <b v="0"/>
    <b v="1"/>
  </r>
  <r>
    <x v="2"/>
    <n v="3"/>
    <s v="Gauteng West"/>
    <x v="0"/>
    <x v="0"/>
    <n v="2098"/>
    <n v="32.19"/>
    <n v="66"/>
    <n v="17"/>
    <b v="1"/>
    <b v="1"/>
  </r>
  <r>
    <x v="2"/>
    <n v="3"/>
    <s v="Gauteng West"/>
    <x v="0"/>
    <x v="1"/>
    <n v="1914"/>
    <n v="32.19"/>
    <n v="60"/>
    <n v="17"/>
    <b v="1"/>
    <b v="1"/>
  </r>
  <r>
    <x v="2"/>
    <n v="3"/>
    <s v="Gauteng West"/>
    <x v="0"/>
    <x v="2"/>
    <n v="1951"/>
    <n v="32.19"/>
    <n v="61"/>
    <n v="17"/>
    <b v="1"/>
    <b v="1"/>
  </r>
  <r>
    <x v="2"/>
    <n v="3"/>
    <s v="Gauteng West"/>
    <x v="1"/>
    <x v="0"/>
    <n v="2086"/>
    <n v="32.19"/>
    <n v="65"/>
    <n v="11"/>
    <b v="1"/>
    <b v="1"/>
  </r>
  <r>
    <x v="2"/>
    <n v="3"/>
    <s v="Gauteng West"/>
    <x v="1"/>
    <x v="1"/>
    <n v="1949"/>
    <n v="32.19"/>
    <n v="61"/>
    <n v="11"/>
    <b v="1"/>
    <b v="1"/>
  </r>
  <r>
    <x v="2"/>
    <n v="3"/>
    <s v="Gauteng West"/>
    <x v="1"/>
    <x v="2"/>
    <n v="2099"/>
    <n v="32.19"/>
    <n v="66"/>
    <n v="11"/>
    <b v="1"/>
    <b v="1"/>
  </r>
  <r>
    <x v="2"/>
    <n v="3"/>
    <s v="Gauteng West"/>
    <x v="2"/>
    <x v="0"/>
    <n v="3195"/>
    <n v="32.19"/>
    <n v="100"/>
    <n v="22"/>
    <b v="1"/>
    <b v="1"/>
  </r>
  <r>
    <x v="2"/>
    <n v="3"/>
    <s v="Gauteng West"/>
    <x v="2"/>
    <x v="1"/>
    <n v="3105"/>
    <n v="32.19"/>
    <n v="97"/>
    <n v="22"/>
    <b v="1"/>
    <b v="1"/>
  </r>
  <r>
    <x v="2"/>
    <n v="3"/>
    <s v="Gauteng West"/>
    <x v="2"/>
    <x v="2"/>
    <n v="3072"/>
    <n v="32.19"/>
    <n v="96"/>
    <n v="22"/>
    <b v="1"/>
    <b v="1"/>
  </r>
  <r>
    <x v="2"/>
    <n v="3"/>
    <s v="Gauteng West"/>
    <x v="3"/>
    <x v="0"/>
    <n v="2403"/>
    <n v="32.19"/>
    <n v="75"/>
    <n v="13"/>
    <b v="0"/>
    <b v="1"/>
  </r>
  <r>
    <x v="2"/>
    <n v="3"/>
    <s v="Gauteng West"/>
    <x v="3"/>
    <x v="1"/>
    <n v="2055"/>
    <n v="32.19"/>
    <n v="64"/>
    <n v="13"/>
    <b v="0"/>
    <b v="1"/>
  </r>
  <r>
    <x v="2"/>
    <n v="3"/>
    <s v="Gauteng West"/>
    <x v="3"/>
    <x v="2"/>
    <n v="1941"/>
    <n v="32.19"/>
    <n v="61"/>
    <n v="13"/>
    <b v="0"/>
    <b v="1"/>
  </r>
  <r>
    <x v="2"/>
    <n v="3"/>
    <s v="Gauteng West"/>
    <x v="4"/>
    <x v="0"/>
    <n v="5047"/>
    <n v="32.19"/>
    <n v="157"/>
    <n v="35"/>
    <b v="0"/>
    <b v="1"/>
  </r>
  <r>
    <x v="2"/>
    <n v="3"/>
    <s v="Gauteng West"/>
    <x v="4"/>
    <x v="1"/>
    <n v="4723"/>
    <n v="32.19"/>
    <n v="147"/>
    <n v="35"/>
    <b v="0"/>
    <b v="1"/>
  </r>
  <r>
    <x v="2"/>
    <n v="3"/>
    <s v="Gauteng West"/>
    <x v="4"/>
    <x v="2"/>
    <n v="4616"/>
    <n v="32.19"/>
    <n v="144"/>
    <n v="35"/>
    <b v="0"/>
    <b v="1"/>
  </r>
  <r>
    <x v="2"/>
    <n v="3"/>
    <s v="Johannesburg Central"/>
    <x v="0"/>
    <x v="0"/>
    <n v="1138"/>
    <n v="32.67"/>
    <n v="35"/>
    <n v="6"/>
    <b v="1"/>
    <b v="1"/>
  </r>
  <r>
    <x v="2"/>
    <n v="3"/>
    <s v="Johannesburg Central"/>
    <x v="0"/>
    <x v="1"/>
    <n v="1158"/>
    <n v="32.67"/>
    <n v="36"/>
    <n v="6"/>
    <b v="1"/>
    <b v="1"/>
  </r>
  <r>
    <x v="2"/>
    <n v="3"/>
    <s v="Johannesburg Central"/>
    <x v="0"/>
    <x v="2"/>
    <n v="1067"/>
    <n v="32.67"/>
    <n v="33"/>
    <n v="6"/>
    <b v="1"/>
    <b v="1"/>
  </r>
  <r>
    <x v="2"/>
    <n v="3"/>
    <s v="Johannesburg Central"/>
    <x v="1"/>
    <x v="0"/>
    <n v="511"/>
    <n v="32.67"/>
    <n v="16"/>
    <n v="6"/>
    <b v="1"/>
    <b v="1"/>
  </r>
  <r>
    <x v="2"/>
    <n v="3"/>
    <s v="Johannesburg Central"/>
    <x v="1"/>
    <x v="1"/>
    <n v="487"/>
    <n v="32.67"/>
    <n v="15"/>
    <n v="6"/>
    <b v="1"/>
    <b v="1"/>
  </r>
  <r>
    <x v="2"/>
    <n v="3"/>
    <s v="Johannesburg Central"/>
    <x v="1"/>
    <x v="2"/>
    <n v="527"/>
    <n v="32.67"/>
    <n v="17"/>
    <n v="6"/>
    <b v="1"/>
    <b v="1"/>
  </r>
  <r>
    <x v="2"/>
    <n v="3"/>
    <s v="Johannesburg Central"/>
    <x v="2"/>
    <x v="0"/>
    <n v="3316"/>
    <n v="32.67"/>
    <n v="102"/>
    <n v="38"/>
    <b v="1"/>
    <b v="1"/>
  </r>
  <r>
    <x v="2"/>
    <n v="3"/>
    <s v="Johannesburg Central"/>
    <x v="2"/>
    <x v="1"/>
    <n v="3370"/>
    <n v="32.67"/>
    <n v="104"/>
    <n v="38"/>
    <b v="1"/>
    <b v="1"/>
  </r>
  <r>
    <x v="2"/>
    <n v="3"/>
    <s v="Johannesburg Central"/>
    <x v="2"/>
    <x v="2"/>
    <n v="3140"/>
    <n v="32.67"/>
    <n v="97"/>
    <n v="38"/>
    <b v="1"/>
    <b v="1"/>
  </r>
  <r>
    <x v="2"/>
    <n v="3"/>
    <s v="Johannesburg Central"/>
    <x v="3"/>
    <x v="0"/>
    <n v="6517"/>
    <n v="32.67"/>
    <n v="200"/>
    <n v="65"/>
    <b v="0"/>
    <b v="1"/>
  </r>
  <r>
    <x v="2"/>
    <n v="3"/>
    <s v="Johannesburg Central"/>
    <x v="3"/>
    <x v="1"/>
    <n v="6454"/>
    <n v="32.67"/>
    <n v="198"/>
    <n v="65"/>
    <b v="0"/>
    <b v="1"/>
  </r>
  <r>
    <x v="2"/>
    <n v="3"/>
    <s v="Johannesburg Central"/>
    <x v="3"/>
    <x v="2"/>
    <n v="6371"/>
    <n v="32.67"/>
    <n v="196"/>
    <n v="65"/>
    <b v="0"/>
    <b v="1"/>
  </r>
  <r>
    <x v="2"/>
    <n v="3"/>
    <s v="Johannesburg Central"/>
    <x v="4"/>
    <x v="0"/>
    <n v="4079"/>
    <n v="32.67"/>
    <n v="125"/>
    <n v="26"/>
    <b v="0"/>
    <b v="1"/>
  </r>
  <r>
    <x v="2"/>
    <n v="3"/>
    <s v="Johannesburg Central"/>
    <x v="4"/>
    <x v="1"/>
    <n v="3880"/>
    <n v="32.67"/>
    <n v="119"/>
    <n v="26"/>
    <b v="0"/>
    <b v="1"/>
  </r>
  <r>
    <x v="2"/>
    <n v="3"/>
    <s v="Johannesburg Central"/>
    <x v="4"/>
    <x v="2"/>
    <n v="3876"/>
    <n v="32.67"/>
    <n v="119"/>
    <n v="26"/>
    <b v="0"/>
    <b v="1"/>
  </r>
  <r>
    <x v="2"/>
    <n v="3"/>
    <s v="Johannesburg East"/>
    <x v="0"/>
    <x v="0"/>
    <n v="209"/>
    <n v="31.31"/>
    <n v="7"/>
    <n v="1"/>
    <b v="1"/>
    <b v="1"/>
  </r>
  <r>
    <x v="2"/>
    <n v="3"/>
    <s v="Johannesburg East"/>
    <x v="0"/>
    <x v="1"/>
    <n v="175"/>
    <n v="31.31"/>
    <n v="6"/>
    <n v="1"/>
    <b v="1"/>
    <b v="1"/>
  </r>
  <r>
    <x v="2"/>
    <n v="3"/>
    <s v="Johannesburg East"/>
    <x v="0"/>
    <x v="2"/>
    <n v="144"/>
    <n v="31.31"/>
    <n v="5"/>
    <n v="1"/>
    <b v="1"/>
    <b v="1"/>
  </r>
  <r>
    <x v="2"/>
    <n v="3"/>
    <s v="Johannesburg East"/>
    <x v="1"/>
    <x v="0"/>
    <n v="6006"/>
    <n v="31.31"/>
    <n v="192"/>
    <n v="23"/>
    <b v="1"/>
    <b v="1"/>
  </r>
  <r>
    <x v="2"/>
    <n v="3"/>
    <s v="Johannesburg East"/>
    <x v="1"/>
    <x v="1"/>
    <n v="5607"/>
    <n v="31.31"/>
    <n v="180"/>
    <n v="23"/>
    <b v="1"/>
    <b v="1"/>
  </r>
  <r>
    <x v="2"/>
    <n v="3"/>
    <s v="Johannesburg East"/>
    <x v="1"/>
    <x v="2"/>
    <n v="5559"/>
    <n v="31.31"/>
    <n v="178"/>
    <n v="23"/>
    <b v="1"/>
    <b v="1"/>
  </r>
  <r>
    <x v="2"/>
    <n v="3"/>
    <s v="Johannesburg East"/>
    <x v="2"/>
    <x v="0"/>
    <n v="955"/>
    <n v="31.31"/>
    <n v="31"/>
    <n v="2"/>
    <b v="1"/>
    <b v="1"/>
  </r>
  <r>
    <x v="2"/>
    <n v="3"/>
    <s v="Johannesburg East"/>
    <x v="2"/>
    <x v="1"/>
    <n v="610"/>
    <n v="31.31"/>
    <n v="20"/>
    <n v="2"/>
    <b v="1"/>
    <b v="1"/>
  </r>
  <r>
    <x v="2"/>
    <n v="3"/>
    <s v="Johannesburg East"/>
    <x v="2"/>
    <x v="2"/>
    <n v="877"/>
    <n v="31.31"/>
    <n v="29"/>
    <n v="2"/>
    <b v="1"/>
    <b v="1"/>
  </r>
  <r>
    <x v="2"/>
    <n v="3"/>
    <s v="Johannesburg East"/>
    <x v="3"/>
    <x v="0"/>
    <n v="1338"/>
    <n v="31.31"/>
    <n v="43"/>
    <n v="10"/>
    <b v="0"/>
    <b v="1"/>
  </r>
  <r>
    <x v="2"/>
    <n v="3"/>
    <s v="Johannesburg East"/>
    <x v="3"/>
    <x v="1"/>
    <n v="1388"/>
    <n v="31.31"/>
    <n v="45"/>
    <n v="10"/>
    <b v="0"/>
    <b v="1"/>
  </r>
  <r>
    <x v="2"/>
    <n v="3"/>
    <s v="Johannesburg East"/>
    <x v="3"/>
    <x v="2"/>
    <n v="1305"/>
    <n v="31.31"/>
    <n v="42"/>
    <n v="10"/>
    <b v="0"/>
    <b v="1"/>
  </r>
  <r>
    <x v="2"/>
    <n v="3"/>
    <s v="Johannesburg East"/>
    <x v="4"/>
    <x v="0"/>
    <n v="5903"/>
    <n v="31.31"/>
    <n v="189"/>
    <n v="47"/>
    <b v="0"/>
    <b v="1"/>
  </r>
  <r>
    <x v="2"/>
    <n v="3"/>
    <s v="Johannesburg East"/>
    <x v="4"/>
    <x v="1"/>
    <n v="5639"/>
    <n v="31.31"/>
    <n v="181"/>
    <n v="47"/>
    <b v="0"/>
    <b v="1"/>
  </r>
  <r>
    <x v="2"/>
    <n v="3"/>
    <s v="Johannesburg East"/>
    <x v="4"/>
    <x v="2"/>
    <n v="5543"/>
    <n v="31.31"/>
    <n v="178"/>
    <n v="47"/>
    <b v="0"/>
    <b v="1"/>
  </r>
  <r>
    <x v="2"/>
    <n v="3"/>
    <s v="Johannesburg North"/>
    <x v="0"/>
    <x v="0"/>
    <n v="3365"/>
    <n v="31.61"/>
    <n v="107"/>
    <n v="15"/>
    <b v="1"/>
    <b v="1"/>
  </r>
  <r>
    <x v="2"/>
    <n v="3"/>
    <s v="Johannesburg North"/>
    <x v="0"/>
    <x v="1"/>
    <n v="3282"/>
    <n v="31.61"/>
    <n v="104"/>
    <n v="15"/>
    <b v="1"/>
    <b v="1"/>
  </r>
  <r>
    <x v="2"/>
    <n v="3"/>
    <s v="Johannesburg North"/>
    <x v="0"/>
    <x v="2"/>
    <n v="3324"/>
    <n v="31.61"/>
    <n v="106"/>
    <n v="15"/>
    <b v="1"/>
    <b v="1"/>
  </r>
  <r>
    <x v="2"/>
    <n v="3"/>
    <s v="Johannesburg North"/>
    <x v="1"/>
    <x v="0"/>
    <n v="86"/>
    <n v="31.61"/>
    <n v="3"/>
    <n v="1"/>
    <b v="1"/>
    <b v="1"/>
  </r>
  <r>
    <x v="2"/>
    <n v="3"/>
    <s v="Johannesburg North"/>
    <x v="1"/>
    <x v="1"/>
    <n v="94"/>
    <n v="31.61"/>
    <n v="3"/>
    <n v="1"/>
    <b v="1"/>
    <b v="1"/>
  </r>
  <r>
    <x v="2"/>
    <n v="3"/>
    <s v="Johannesburg North"/>
    <x v="1"/>
    <x v="2"/>
    <n v="115"/>
    <n v="31.61"/>
    <n v="4"/>
    <n v="1"/>
    <b v="1"/>
    <b v="1"/>
  </r>
  <r>
    <x v="2"/>
    <n v="3"/>
    <s v="Johannesburg North"/>
    <x v="2"/>
    <x v="0"/>
    <n v="2742"/>
    <n v="31.61"/>
    <n v="87"/>
    <n v="26"/>
    <b v="1"/>
    <b v="1"/>
  </r>
  <r>
    <x v="2"/>
    <n v="3"/>
    <s v="Johannesburg North"/>
    <x v="2"/>
    <x v="1"/>
    <n v="2576"/>
    <n v="31.61"/>
    <n v="82"/>
    <n v="26"/>
    <b v="1"/>
    <b v="1"/>
  </r>
  <r>
    <x v="2"/>
    <n v="3"/>
    <s v="Johannesburg North"/>
    <x v="2"/>
    <x v="2"/>
    <n v="2596"/>
    <n v="31.61"/>
    <n v="83"/>
    <n v="26"/>
    <b v="1"/>
    <b v="1"/>
  </r>
  <r>
    <x v="2"/>
    <n v="3"/>
    <s v="Johannesburg North"/>
    <x v="3"/>
    <x v="0"/>
    <n v="2475"/>
    <n v="31.61"/>
    <n v="79"/>
    <n v="22"/>
    <b v="0"/>
    <b v="1"/>
  </r>
  <r>
    <x v="2"/>
    <n v="3"/>
    <s v="Johannesburg North"/>
    <x v="3"/>
    <x v="1"/>
    <n v="2535"/>
    <n v="31.61"/>
    <n v="81"/>
    <n v="22"/>
    <b v="0"/>
    <b v="1"/>
  </r>
  <r>
    <x v="2"/>
    <n v="3"/>
    <s v="Johannesburg North"/>
    <x v="3"/>
    <x v="2"/>
    <n v="2542"/>
    <n v="31.61"/>
    <n v="81"/>
    <n v="22"/>
    <b v="0"/>
    <b v="1"/>
  </r>
  <r>
    <x v="2"/>
    <n v="3"/>
    <s v="Johannesburg North"/>
    <x v="4"/>
    <x v="0"/>
    <n v="3955"/>
    <n v="31.61"/>
    <n v="126"/>
    <n v="32"/>
    <b v="0"/>
    <b v="1"/>
  </r>
  <r>
    <x v="2"/>
    <n v="3"/>
    <s v="Johannesburg North"/>
    <x v="4"/>
    <x v="1"/>
    <n v="3749"/>
    <n v="31.61"/>
    <n v="119"/>
    <n v="32"/>
    <b v="0"/>
    <b v="1"/>
  </r>
  <r>
    <x v="2"/>
    <n v="3"/>
    <s v="Johannesburg North"/>
    <x v="4"/>
    <x v="2"/>
    <n v="3838"/>
    <n v="31.61"/>
    <n v="122"/>
    <n v="32"/>
    <b v="0"/>
    <b v="1"/>
  </r>
  <r>
    <x v="2"/>
    <n v="3"/>
    <s v="Johannesburg South"/>
    <x v="0"/>
    <x v="0"/>
    <n v="2076"/>
    <n v="34.72"/>
    <n v="60"/>
    <n v="11"/>
    <b v="1"/>
    <b v="1"/>
  </r>
  <r>
    <x v="2"/>
    <n v="3"/>
    <s v="Johannesburg South"/>
    <x v="0"/>
    <x v="1"/>
    <n v="1943"/>
    <n v="34.72"/>
    <n v="56"/>
    <n v="11"/>
    <b v="1"/>
    <b v="1"/>
  </r>
  <r>
    <x v="2"/>
    <n v="3"/>
    <s v="Johannesburg South"/>
    <x v="0"/>
    <x v="2"/>
    <n v="1940"/>
    <n v="34.72"/>
    <n v="56"/>
    <n v="11"/>
    <b v="1"/>
    <b v="1"/>
  </r>
  <r>
    <x v="2"/>
    <n v="3"/>
    <s v="Johannesburg South"/>
    <x v="1"/>
    <x v="0"/>
    <n v="3888"/>
    <n v="34.72"/>
    <n v="112"/>
    <n v="25"/>
    <b v="1"/>
    <b v="1"/>
  </r>
  <r>
    <x v="2"/>
    <n v="3"/>
    <s v="Johannesburg South"/>
    <x v="1"/>
    <x v="1"/>
    <n v="4029"/>
    <n v="34.72"/>
    <n v="117"/>
    <n v="25"/>
    <b v="1"/>
    <b v="1"/>
  </r>
  <r>
    <x v="2"/>
    <n v="3"/>
    <s v="Johannesburg South"/>
    <x v="1"/>
    <x v="2"/>
    <n v="3834"/>
    <n v="34.72"/>
    <n v="111"/>
    <n v="25"/>
    <b v="1"/>
    <b v="1"/>
  </r>
  <r>
    <x v="2"/>
    <n v="3"/>
    <s v="Johannesburg South"/>
    <x v="2"/>
    <x v="0"/>
    <n v="143"/>
    <n v="34.72"/>
    <n v="5"/>
    <n v="1"/>
    <b v="1"/>
    <b v="1"/>
  </r>
  <r>
    <x v="2"/>
    <n v="3"/>
    <s v="Johannesburg South"/>
    <x v="2"/>
    <x v="1"/>
    <n v="172"/>
    <n v="34.72"/>
    <n v="5"/>
    <n v="1"/>
    <b v="1"/>
    <b v="1"/>
  </r>
  <r>
    <x v="2"/>
    <n v="3"/>
    <s v="Johannesburg South"/>
    <x v="2"/>
    <x v="2"/>
    <n v="161"/>
    <n v="34.72"/>
    <n v="5"/>
    <n v="1"/>
    <b v="1"/>
    <b v="1"/>
  </r>
  <r>
    <x v="2"/>
    <n v="3"/>
    <s v="Johannesburg South"/>
    <x v="3"/>
    <x v="0"/>
    <n v="1217"/>
    <n v="34.72"/>
    <n v="36"/>
    <n v="8"/>
    <b v="0"/>
    <b v="1"/>
  </r>
  <r>
    <x v="2"/>
    <n v="3"/>
    <s v="Johannesburg South"/>
    <x v="3"/>
    <x v="1"/>
    <n v="1293"/>
    <n v="34.72"/>
    <n v="38"/>
    <n v="8"/>
    <b v="0"/>
    <b v="1"/>
  </r>
  <r>
    <x v="2"/>
    <n v="3"/>
    <s v="Johannesburg South"/>
    <x v="3"/>
    <x v="2"/>
    <n v="1358"/>
    <n v="34.72"/>
    <n v="40"/>
    <n v="8"/>
    <b v="0"/>
    <b v="1"/>
  </r>
  <r>
    <x v="2"/>
    <n v="3"/>
    <s v="Johannesburg South"/>
    <x v="4"/>
    <x v="0"/>
    <n v="3955"/>
    <n v="34.72"/>
    <n v="114"/>
    <n v="27"/>
    <b v="0"/>
    <b v="1"/>
  </r>
  <r>
    <x v="2"/>
    <n v="3"/>
    <s v="Johannesburg South"/>
    <x v="4"/>
    <x v="1"/>
    <n v="3867"/>
    <n v="34.72"/>
    <n v="112"/>
    <n v="27"/>
    <b v="0"/>
    <b v="1"/>
  </r>
  <r>
    <x v="2"/>
    <n v="3"/>
    <s v="Johannesburg South"/>
    <x v="4"/>
    <x v="2"/>
    <n v="3787"/>
    <n v="34.72"/>
    <n v="110"/>
    <n v="27"/>
    <b v="0"/>
    <b v="1"/>
  </r>
  <r>
    <x v="2"/>
    <n v="3"/>
    <s v="Johannesburg West"/>
    <x v="0"/>
    <x v="0"/>
    <n v="1985"/>
    <n v="31.22"/>
    <n v="64"/>
    <n v="9"/>
    <b v="1"/>
    <b v="1"/>
  </r>
  <r>
    <x v="2"/>
    <n v="3"/>
    <s v="Johannesburg West"/>
    <x v="0"/>
    <x v="1"/>
    <n v="1897"/>
    <n v="31.22"/>
    <n v="61"/>
    <n v="9"/>
    <b v="1"/>
    <b v="1"/>
  </r>
  <r>
    <x v="2"/>
    <n v="3"/>
    <s v="Johannesburg West"/>
    <x v="0"/>
    <x v="2"/>
    <n v="1735"/>
    <n v="31.22"/>
    <n v="56"/>
    <n v="9"/>
    <b v="1"/>
    <b v="1"/>
  </r>
  <r>
    <x v="2"/>
    <n v="3"/>
    <s v="Johannesburg West"/>
    <x v="1"/>
    <x v="0"/>
    <n v="1933"/>
    <n v="31.22"/>
    <n v="62"/>
    <n v="9"/>
    <b v="1"/>
    <b v="1"/>
  </r>
  <r>
    <x v="2"/>
    <n v="3"/>
    <s v="Johannesburg West"/>
    <x v="1"/>
    <x v="1"/>
    <n v="1874"/>
    <n v="31.22"/>
    <n v="61"/>
    <n v="9"/>
    <b v="1"/>
    <b v="1"/>
  </r>
  <r>
    <x v="2"/>
    <n v="3"/>
    <s v="Johannesburg West"/>
    <x v="1"/>
    <x v="2"/>
    <n v="1816"/>
    <n v="31.22"/>
    <n v="59"/>
    <n v="9"/>
    <b v="1"/>
    <b v="1"/>
  </r>
  <r>
    <x v="2"/>
    <n v="3"/>
    <s v="Johannesburg West"/>
    <x v="2"/>
    <x v="0"/>
    <n v="2042"/>
    <n v="31.22"/>
    <n v="66"/>
    <n v="25"/>
    <b v="1"/>
    <b v="1"/>
  </r>
  <r>
    <x v="2"/>
    <n v="3"/>
    <s v="Johannesburg West"/>
    <x v="2"/>
    <x v="1"/>
    <n v="2116"/>
    <n v="31.22"/>
    <n v="68"/>
    <n v="25"/>
    <b v="1"/>
    <b v="1"/>
  </r>
  <r>
    <x v="2"/>
    <n v="3"/>
    <s v="Johannesburg West"/>
    <x v="2"/>
    <x v="2"/>
    <n v="2058"/>
    <n v="31.22"/>
    <n v="66"/>
    <n v="25"/>
    <b v="1"/>
    <b v="1"/>
  </r>
  <r>
    <x v="2"/>
    <n v="3"/>
    <s v="Johannesburg West"/>
    <x v="3"/>
    <x v="0"/>
    <n v="2239"/>
    <n v="31.22"/>
    <n v="72"/>
    <n v="24"/>
    <b v="0"/>
    <b v="1"/>
  </r>
  <r>
    <x v="2"/>
    <n v="3"/>
    <s v="Johannesburg West"/>
    <x v="3"/>
    <x v="1"/>
    <n v="2364"/>
    <n v="31.22"/>
    <n v="76"/>
    <n v="24"/>
    <b v="0"/>
    <b v="1"/>
  </r>
  <r>
    <x v="2"/>
    <n v="3"/>
    <s v="Johannesburg West"/>
    <x v="3"/>
    <x v="2"/>
    <n v="2209"/>
    <n v="31.22"/>
    <n v="71"/>
    <n v="24"/>
    <b v="0"/>
    <b v="1"/>
  </r>
  <r>
    <x v="2"/>
    <n v="3"/>
    <s v="Johannesburg West"/>
    <x v="4"/>
    <x v="0"/>
    <n v="3094"/>
    <n v="31.22"/>
    <n v="100"/>
    <n v="20"/>
    <b v="0"/>
    <b v="1"/>
  </r>
  <r>
    <x v="2"/>
    <n v="3"/>
    <s v="Johannesburg West"/>
    <x v="4"/>
    <x v="1"/>
    <n v="2950"/>
    <n v="31.22"/>
    <n v="95"/>
    <n v="20"/>
    <b v="0"/>
    <b v="1"/>
  </r>
  <r>
    <x v="2"/>
    <n v="3"/>
    <s v="Johannesburg West"/>
    <x v="4"/>
    <x v="2"/>
    <n v="2817"/>
    <n v="31.22"/>
    <n v="91"/>
    <n v="20"/>
    <b v="0"/>
    <b v="1"/>
  </r>
  <r>
    <x v="2"/>
    <n v="3"/>
    <s v="Sedibeng East"/>
    <x v="0"/>
    <x v="0"/>
    <n v="980"/>
    <n v="31.71"/>
    <n v="31"/>
    <n v="10"/>
    <b v="1"/>
    <b v="1"/>
  </r>
  <r>
    <x v="2"/>
    <n v="3"/>
    <s v="Sedibeng East"/>
    <x v="0"/>
    <x v="1"/>
    <n v="934"/>
    <n v="31.71"/>
    <n v="30"/>
    <n v="10"/>
    <b v="1"/>
    <b v="1"/>
  </r>
  <r>
    <x v="2"/>
    <n v="3"/>
    <s v="Sedibeng East"/>
    <x v="0"/>
    <x v="2"/>
    <n v="951"/>
    <n v="31.71"/>
    <n v="30"/>
    <n v="10"/>
    <b v="1"/>
    <b v="1"/>
  </r>
  <r>
    <x v="2"/>
    <n v="3"/>
    <s v="Sedibeng East"/>
    <x v="1"/>
    <x v="0"/>
    <n v="1108"/>
    <n v="31.71"/>
    <n v="35"/>
    <n v="7"/>
    <b v="1"/>
    <b v="1"/>
  </r>
  <r>
    <x v="2"/>
    <n v="3"/>
    <s v="Sedibeng East"/>
    <x v="1"/>
    <x v="1"/>
    <n v="1117"/>
    <n v="31.71"/>
    <n v="36"/>
    <n v="7"/>
    <b v="1"/>
    <b v="1"/>
  </r>
  <r>
    <x v="2"/>
    <n v="3"/>
    <s v="Sedibeng East"/>
    <x v="1"/>
    <x v="2"/>
    <n v="1082"/>
    <n v="31.71"/>
    <n v="35"/>
    <n v="7"/>
    <b v="1"/>
    <b v="1"/>
  </r>
  <r>
    <x v="2"/>
    <n v="3"/>
    <s v="Sedibeng East"/>
    <x v="2"/>
    <x v="0"/>
    <n v="728"/>
    <n v="31.71"/>
    <n v="23"/>
    <n v="6"/>
    <b v="1"/>
    <b v="1"/>
  </r>
  <r>
    <x v="2"/>
    <n v="3"/>
    <s v="Sedibeng East"/>
    <x v="2"/>
    <x v="1"/>
    <n v="701"/>
    <n v="31.71"/>
    <n v="23"/>
    <n v="6"/>
    <b v="1"/>
    <b v="1"/>
  </r>
  <r>
    <x v="2"/>
    <n v="3"/>
    <s v="Sedibeng East"/>
    <x v="2"/>
    <x v="2"/>
    <n v="642"/>
    <n v="31.71"/>
    <n v="21"/>
    <n v="6"/>
    <b v="1"/>
    <b v="1"/>
  </r>
  <r>
    <x v="2"/>
    <n v="3"/>
    <s v="Sedibeng East"/>
    <x v="3"/>
    <x v="0"/>
    <n v="583"/>
    <n v="31.71"/>
    <n v="19"/>
    <n v="4"/>
    <b v="0"/>
    <b v="1"/>
  </r>
  <r>
    <x v="2"/>
    <n v="3"/>
    <s v="Sedibeng East"/>
    <x v="3"/>
    <x v="1"/>
    <n v="557"/>
    <n v="31.71"/>
    <n v="18"/>
    <n v="4"/>
    <b v="0"/>
    <b v="1"/>
  </r>
  <r>
    <x v="2"/>
    <n v="3"/>
    <s v="Sedibeng East"/>
    <x v="3"/>
    <x v="2"/>
    <n v="498"/>
    <n v="31.71"/>
    <n v="16"/>
    <n v="4"/>
    <b v="0"/>
    <b v="1"/>
  </r>
  <r>
    <x v="2"/>
    <n v="3"/>
    <s v="Sedibeng East"/>
    <x v="4"/>
    <x v="0"/>
    <n v="2630"/>
    <n v="31.71"/>
    <n v="83"/>
    <n v="19"/>
    <b v="0"/>
    <b v="1"/>
  </r>
  <r>
    <x v="2"/>
    <n v="3"/>
    <s v="Sedibeng East"/>
    <x v="4"/>
    <x v="1"/>
    <n v="2312"/>
    <n v="31.71"/>
    <n v="73"/>
    <n v="19"/>
    <b v="0"/>
    <b v="1"/>
  </r>
  <r>
    <x v="2"/>
    <n v="3"/>
    <s v="Sedibeng East"/>
    <x v="4"/>
    <x v="2"/>
    <n v="2238"/>
    <n v="31.71"/>
    <n v="71"/>
    <n v="19"/>
    <b v="0"/>
    <b v="1"/>
  </r>
  <r>
    <x v="2"/>
    <n v="3"/>
    <s v="Sedibeng West"/>
    <x v="0"/>
    <x v="0"/>
    <n v="3143"/>
    <n v="33.25"/>
    <n v="95"/>
    <n v="22"/>
    <b v="1"/>
    <b v="1"/>
  </r>
  <r>
    <x v="2"/>
    <n v="3"/>
    <s v="Sedibeng West"/>
    <x v="0"/>
    <x v="1"/>
    <n v="2720"/>
    <n v="33.25"/>
    <n v="82"/>
    <n v="22"/>
    <b v="1"/>
    <b v="1"/>
  </r>
  <r>
    <x v="2"/>
    <n v="3"/>
    <s v="Sedibeng West"/>
    <x v="0"/>
    <x v="2"/>
    <n v="2684"/>
    <n v="33.25"/>
    <n v="81"/>
    <n v="22"/>
    <b v="1"/>
    <b v="1"/>
  </r>
  <r>
    <x v="2"/>
    <n v="3"/>
    <s v="Sedibeng West"/>
    <x v="1"/>
    <x v="0"/>
    <n v="2966"/>
    <n v="33.25"/>
    <n v="90"/>
    <n v="22"/>
    <b v="1"/>
    <b v="1"/>
  </r>
  <r>
    <x v="2"/>
    <n v="3"/>
    <s v="Sedibeng West"/>
    <x v="1"/>
    <x v="1"/>
    <n v="2955"/>
    <n v="33.25"/>
    <n v="89"/>
    <n v="22"/>
    <b v="1"/>
    <b v="1"/>
  </r>
  <r>
    <x v="2"/>
    <n v="3"/>
    <s v="Sedibeng West"/>
    <x v="1"/>
    <x v="2"/>
    <n v="2687"/>
    <n v="33.25"/>
    <n v="81"/>
    <n v="22"/>
    <b v="1"/>
    <b v="1"/>
  </r>
  <r>
    <x v="2"/>
    <n v="3"/>
    <s v="Sedibeng West"/>
    <x v="2"/>
    <x v="0"/>
    <n v="2233"/>
    <n v="33.25"/>
    <n v="68"/>
    <n v="17"/>
    <b v="1"/>
    <b v="1"/>
  </r>
  <r>
    <x v="2"/>
    <n v="3"/>
    <s v="Sedibeng West"/>
    <x v="2"/>
    <x v="1"/>
    <n v="2250"/>
    <n v="33.25"/>
    <n v="68"/>
    <n v="17"/>
    <b v="1"/>
    <b v="1"/>
  </r>
  <r>
    <x v="2"/>
    <n v="3"/>
    <s v="Sedibeng West"/>
    <x v="2"/>
    <x v="2"/>
    <n v="2146"/>
    <n v="33.25"/>
    <n v="65"/>
    <n v="17"/>
    <b v="1"/>
    <b v="1"/>
  </r>
  <r>
    <x v="2"/>
    <n v="3"/>
    <s v="Sedibeng West"/>
    <x v="3"/>
    <x v="0"/>
    <n v="1505"/>
    <n v="33.25"/>
    <n v="46"/>
    <n v="15"/>
    <b v="0"/>
    <b v="1"/>
  </r>
  <r>
    <x v="2"/>
    <n v="3"/>
    <s v="Sedibeng West"/>
    <x v="3"/>
    <x v="1"/>
    <n v="1497"/>
    <n v="33.25"/>
    <n v="46"/>
    <n v="15"/>
    <b v="0"/>
    <b v="1"/>
  </r>
  <r>
    <x v="2"/>
    <n v="3"/>
    <s v="Sedibeng West"/>
    <x v="3"/>
    <x v="2"/>
    <n v="1457"/>
    <n v="33.25"/>
    <n v="44"/>
    <n v="15"/>
    <b v="0"/>
    <b v="1"/>
  </r>
  <r>
    <x v="2"/>
    <n v="3"/>
    <s v="Sedibeng West"/>
    <x v="4"/>
    <x v="0"/>
    <n v="1677"/>
    <n v="33.25"/>
    <n v="51"/>
    <n v="12"/>
    <b v="0"/>
    <b v="1"/>
  </r>
  <r>
    <x v="2"/>
    <n v="3"/>
    <s v="Sedibeng West"/>
    <x v="4"/>
    <x v="1"/>
    <n v="1605"/>
    <n v="33.25"/>
    <n v="49"/>
    <n v="12"/>
    <b v="0"/>
    <b v="1"/>
  </r>
  <r>
    <x v="2"/>
    <n v="3"/>
    <s v="Sedibeng West"/>
    <x v="4"/>
    <x v="2"/>
    <n v="1517"/>
    <n v="33.25"/>
    <n v="46"/>
    <n v="12"/>
    <b v="0"/>
    <b v="1"/>
  </r>
  <r>
    <x v="2"/>
    <n v="3"/>
    <s v="Tshwane North"/>
    <x v="0"/>
    <x v="0"/>
    <n v="4625"/>
    <n v="33.549999999999997"/>
    <n v="138"/>
    <n v="31"/>
    <b v="1"/>
    <b v="1"/>
  </r>
  <r>
    <x v="2"/>
    <n v="3"/>
    <s v="Tshwane North"/>
    <x v="0"/>
    <x v="1"/>
    <n v="4980"/>
    <n v="33.549999999999997"/>
    <n v="149"/>
    <n v="31"/>
    <b v="1"/>
    <b v="1"/>
  </r>
  <r>
    <x v="2"/>
    <n v="3"/>
    <s v="Tshwane North"/>
    <x v="0"/>
    <x v="2"/>
    <n v="4586"/>
    <n v="33.549999999999997"/>
    <n v="137"/>
    <n v="31"/>
    <b v="1"/>
    <b v="1"/>
  </r>
  <r>
    <x v="2"/>
    <n v="3"/>
    <s v="Tshwane North"/>
    <x v="1"/>
    <x v="0"/>
    <n v="1689"/>
    <n v="33.549999999999997"/>
    <n v="51"/>
    <n v="12"/>
    <b v="1"/>
    <b v="1"/>
  </r>
  <r>
    <x v="2"/>
    <n v="3"/>
    <s v="Tshwane North"/>
    <x v="1"/>
    <x v="1"/>
    <n v="1630"/>
    <n v="33.549999999999997"/>
    <n v="49"/>
    <n v="12"/>
    <b v="1"/>
    <b v="1"/>
  </r>
  <r>
    <x v="2"/>
    <n v="3"/>
    <s v="Tshwane North"/>
    <x v="1"/>
    <x v="2"/>
    <n v="1679"/>
    <n v="33.549999999999997"/>
    <n v="51"/>
    <n v="12"/>
    <b v="1"/>
    <b v="1"/>
  </r>
  <r>
    <x v="2"/>
    <n v="3"/>
    <s v="Tshwane North"/>
    <x v="2"/>
    <x v="0"/>
    <n v="696"/>
    <n v="33.549999999999997"/>
    <n v="21"/>
    <n v="5"/>
    <b v="1"/>
    <b v="1"/>
  </r>
  <r>
    <x v="2"/>
    <n v="3"/>
    <s v="Tshwane North"/>
    <x v="2"/>
    <x v="1"/>
    <n v="700"/>
    <n v="33.549999999999997"/>
    <n v="21"/>
    <n v="5"/>
    <b v="1"/>
    <b v="1"/>
  </r>
  <r>
    <x v="2"/>
    <n v="3"/>
    <s v="Tshwane North"/>
    <x v="2"/>
    <x v="2"/>
    <n v="684"/>
    <n v="33.549999999999997"/>
    <n v="21"/>
    <n v="5"/>
    <b v="1"/>
    <b v="1"/>
  </r>
  <r>
    <x v="2"/>
    <n v="3"/>
    <s v="Tshwane North"/>
    <x v="3"/>
    <x v="0"/>
    <n v="2253"/>
    <n v="33.549999999999997"/>
    <n v="68"/>
    <n v="18"/>
    <b v="0"/>
    <b v="1"/>
  </r>
  <r>
    <x v="2"/>
    <n v="3"/>
    <s v="Tshwane North"/>
    <x v="3"/>
    <x v="1"/>
    <n v="2134"/>
    <n v="33.549999999999997"/>
    <n v="64"/>
    <n v="18"/>
    <b v="0"/>
    <b v="1"/>
  </r>
  <r>
    <x v="2"/>
    <n v="3"/>
    <s v="Tshwane North"/>
    <x v="3"/>
    <x v="2"/>
    <n v="2067"/>
    <n v="33.549999999999997"/>
    <n v="62"/>
    <n v="18"/>
    <b v="0"/>
    <b v="1"/>
  </r>
  <r>
    <x v="2"/>
    <n v="3"/>
    <s v="Tshwane North"/>
    <x v="4"/>
    <x v="0"/>
    <n v="2809"/>
    <n v="33.549999999999997"/>
    <n v="84"/>
    <n v="21"/>
    <b v="0"/>
    <b v="1"/>
  </r>
  <r>
    <x v="2"/>
    <n v="3"/>
    <s v="Tshwane North"/>
    <x v="4"/>
    <x v="1"/>
    <n v="2581"/>
    <n v="33.549999999999997"/>
    <n v="77"/>
    <n v="21"/>
    <b v="0"/>
    <b v="1"/>
  </r>
  <r>
    <x v="2"/>
    <n v="3"/>
    <s v="Tshwane North"/>
    <x v="4"/>
    <x v="2"/>
    <n v="2576"/>
    <n v="33.549999999999997"/>
    <n v="77"/>
    <n v="21"/>
    <b v="0"/>
    <b v="1"/>
  </r>
  <r>
    <x v="2"/>
    <n v="3"/>
    <s v="Tshwane South"/>
    <x v="0"/>
    <x v="0"/>
    <n v="3664"/>
    <n v="32.21"/>
    <n v="114"/>
    <n v="18"/>
    <b v="1"/>
    <b v="1"/>
  </r>
  <r>
    <x v="2"/>
    <n v="3"/>
    <s v="Tshwane South"/>
    <x v="0"/>
    <x v="1"/>
    <n v="3559"/>
    <n v="32.21"/>
    <n v="111"/>
    <n v="18"/>
    <b v="1"/>
    <b v="1"/>
  </r>
  <r>
    <x v="2"/>
    <n v="3"/>
    <s v="Tshwane South"/>
    <x v="0"/>
    <x v="2"/>
    <n v="3493"/>
    <n v="32.21"/>
    <n v="109"/>
    <n v="18"/>
    <b v="1"/>
    <b v="1"/>
  </r>
  <r>
    <x v="2"/>
    <n v="3"/>
    <s v="Tshwane South"/>
    <x v="1"/>
    <x v="0"/>
    <n v="603"/>
    <n v="32.21"/>
    <n v="19"/>
    <n v="4"/>
    <b v="1"/>
    <b v="1"/>
  </r>
  <r>
    <x v="2"/>
    <n v="3"/>
    <s v="Tshwane South"/>
    <x v="1"/>
    <x v="1"/>
    <n v="595"/>
    <n v="32.21"/>
    <n v="19"/>
    <n v="4"/>
    <b v="1"/>
    <b v="1"/>
  </r>
  <r>
    <x v="2"/>
    <n v="3"/>
    <s v="Tshwane South"/>
    <x v="1"/>
    <x v="2"/>
    <n v="561"/>
    <n v="32.21"/>
    <n v="18"/>
    <n v="4"/>
    <b v="1"/>
    <b v="1"/>
  </r>
  <r>
    <x v="2"/>
    <n v="3"/>
    <s v="Tshwane South"/>
    <x v="2"/>
    <x v="0"/>
    <n v="1566"/>
    <n v="32.21"/>
    <n v="49"/>
    <n v="18"/>
    <b v="1"/>
    <b v="1"/>
  </r>
  <r>
    <x v="2"/>
    <n v="3"/>
    <s v="Tshwane South"/>
    <x v="2"/>
    <x v="1"/>
    <n v="1716"/>
    <n v="32.21"/>
    <n v="54"/>
    <n v="18"/>
    <b v="1"/>
    <b v="1"/>
  </r>
  <r>
    <x v="2"/>
    <n v="3"/>
    <s v="Tshwane South"/>
    <x v="2"/>
    <x v="2"/>
    <n v="1549"/>
    <n v="32.21"/>
    <n v="49"/>
    <n v="18"/>
    <b v="1"/>
    <b v="1"/>
  </r>
  <r>
    <x v="2"/>
    <n v="3"/>
    <s v="Tshwane South"/>
    <x v="3"/>
    <x v="0"/>
    <n v="4763"/>
    <n v="32.21"/>
    <n v="148"/>
    <n v="44"/>
    <b v="0"/>
    <b v="1"/>
  </r>
  <r>
    <x v="2"/>
    <n v="3"/>
    <s v="Tshwane South"/>
    <x v="3"/>
    <x v="1"/>
    <n v="5001"/>
    <n v="32.21"/>
    <n v="156"/>
    <n v="44"/>
    <b v="0"/>
    <b v="1"/>
  </r>
  <r>
    <x v="2"/>
    <n v="3"/>
    <s v="Tshwane South"/>
    <x v="3"/>
    <x v="2"/>
    <n v="4815"/>
    <n v="32.21"/>
    <n v="150"/>
    <n v="44"/>
    <b v="0"/>
    <b v="1"/>
  </r>
  <r>
    <x v="2"/>
    <n v="3"/>
    <s v="Tshwane South"/>
    <x v="4"/>
    <x v="0"/>
    <n v="7837"/>
    <n v="32.21"/>
    <n v="244"/>
    <n v="47"/>
    <b v="0"/>
    <b v="1"/>
  </r>
  <r>
    <x v="2"/>
    <n v="3"/>
    <s v="Tshwane South"/>
    <x v="4"/>
    <x v="1"/>
    <n v="7511"/>
    <n v="32.21"/>
    <n v="234"/>
    <n v="47"/>
    <b v="0"/>
    <b v="1"/>
  </r>
  <r>
    <x v="2"/>
    <n v="3"/>
    <s v="Tshwane South"/>
    <x v="4"/>
    <x v="2"/>
    <n v="7386"/>
    <n v="32.21"/>
    <n v="230"/>
    <n v="47"/>
    <b v="0"/>
    <b v="1"/>
  </r>
  <r>
    <x v="2"/>
    <n v="3"/>
    <s v="Tshwane West"/>
    <x v="0"/>
    <x v="0"/>
    <n v="3879"/>
    <n v="33.409999999999997"/>
    <n v="117"/>
    <n v="23"/>
    <b v="1"/>
    <b v="1"/>
  </r>
  <r>
    <x v="2"/>
    <n v="3"/>
    <s v="Tshwane West"/>
    <x v="0"/>
    <x v="1"/>
    <n v="3827"/>
    <n v="33.409999999999997"/>
    <n v="115"/>
    <n v="23"/>
    <b v="1"/>
    <b v="1"/>
  </r>
  <r>
    <x v="2"/>
    <n v="3"/>
    <s v="Tshwane West"/>
    <x v="0"/>
    <x v="2"/>
    <n v="3605"/>
    <n v="33.409999999999997"/>
    <n v="108"/>
    <n v="23"/>
    <b v="1"/>
    <b v="1"/>
  </r>
  <r>
    <x v="2"/>
    <n v="3"/>
    <s v="Tshwane West"/>
    <x v="1"/>
    <x v="0"/>
    <n v="2837"/>
    <n v="33.409999999999997"/>
    <n v="85"/>
    <n v="13"/>
    <b v="1"/>
    <b v="1"/>
  </r>
  <r>
    <x v="2"/>
    <n v="3"/>
    <s v="Tshwane West"/>
    <x v="1"/>
    <x v="1"/>
    <n v="2653"/>
    <n v="33.409999999999997"/>
    <n v="80"/>
    <n v="13"/>
    <b v="1"/>
    <b v="1"/>
  </r>
  <r>
    <x v="2"/>
    <n v="3"/>
    <s v="Tshwane West"/>
    <x v="1"/>
    <x v="2"/>
    <n v="2547"/>
    <n v="33.409999999999997"/>
    <n v="77"/>
    <n v="13"/>
    <b v="1"/>
    <b v="1"/>
  </r>
  <r>
    <x v="2"/>
    <n v="3"/>
    <s v="Tshwane West"/>
    <x v="2"/>
    <x v="0"/>
    <n v="1863"/>
    <n v="33.409999999999997"/>
    <n v="56"/>
    <n v="14"/>
    <b v="1"/>
    <b v="1"/>
  </r>
  <r>
    <x v="2"/>
    <n v="3"/>
    <s v="Tshwane West"/>
    <x v="2"/>
    <x v="1"/>
    <n v="1963"/>
    <n v="33.409999999999997"/>
    <n v="59"/>
    <n v="14"/>
    <b v="1"/>
    <b v="1"/>
  </r>
  <r>
    <x v="2"/>
    <n v="3"/>
    <s v="Tshwane West"/>
    <x v="2"/>
    <x v="2"/>
    <n v="1909"/>
    <n v="33.409999999999997"/>
    <n v="58"/>
    <n v="14"/>
    <b v="1"/>
    <b v="1"/>
  </r>
  <r>
    <x v="2"/>
    <n v="3"/>
    <s v="Tshwane West"/>
    <x v="3"/>
    <x v="0"/>
    <n v="2494"/>
    <n v="33.409999999999997"/>
    <n v="75"/>
    <n v="22"/>
    <b v="0"/>
    <b v="1"/>
  </r>
  <r>
    <x v="2"/>
    <n v="3"/>
    <s v="Tshwane West"/>
    <x v="3"/>
    <x v="1"/>
    <n v="2532"/>
    <n v="33.409999999999997"/>
    <n v="76"/>
    <n v="22"/>
    <b v="0"/>
    <b v="1"/>
  </r>
  <r>
    <x v="2"/>
    <n v="3"/>
    <s v="Tshwane West"/>
    <x v="3"/>
    <x v="2"/>
    <n v="2339"/>
    <n v="33.409999999999997"/>
    <n v="71"/>
    <n v="22"/>
    <b v="0"/>
    <b v="1"/>
  </r>
  <r>
    <x v="2"/>
    <n v="3"/>
    <s v="Tshwane West"/>
    <x v="4"/>
    <x v="0"/>
    <n v="4112"/>
    <n v="33.409999999999997"/>
    <n v="124"/>
    <n v="24"/>
    <b v="0"/>
    <b v="1"/>
  </r>
  <r>
    <x v="2"/>
    <n v="3"/>
    <s v="Tshwane West"/>
    <x v="4"/>
    <x v="1"/>
    <n v="3834"/>
    <n v="33.409999999999997"/>
    <n v="115"/>
    <n v="24"/>
    <b v="0"/>
    <b v="1"/>
  </r>
  <r>
    <x v="2"/>
    <n v="3"/>
    <s v="Tshwane West"/>
    <x v="4"/>
    <x v="2"/>
    <n v="3658"/>
    <n v="33.409999999999997"/>
    <n v="110"/>
    <n v="24"/>
    <b v="0"/>
    <b v="1"/>
  </r>
  <r>
    <x v="3"/>
    <n v="4"/>
    <s v="Amajuba"/>
    <x v="0"/>
    <x v="0"/>
    <n v="206"/>
    <n v="31.8"/>
    <n v="7"/>
    <n v="5"/>
    <b v="1"/>
    <b v="1"/>
  </r>
  <r>
    <x v="3"/>
    <n v="4"/>
    <s v="Amajuba"/>
    <x v="0"/>
    <x v="1"/>
    <n v="182"/>
    <n v="31.8"/>
    <n v="6"/>
    <n v="5"/>
    <b v="1"/>
    <b v="1"/>
  </r>
  <r>
    <x v="3"/>
    <n v="4"/>
    <s v="Amajuba"/>
    <x v="0"/>
    <x v="2"/>
    <n v="208"/>
    <n v="31.8"/>
    <n v="7"/>
    <n v="5"/>
    <b v="1"/>
    <b v="1"/>
  </r>
  <r>
    <x v="3"/>
    <n v="4"/>
    <s v="Amajuba"/>
    <x v="1"/>
    <x v="0"/>
    <n v="2119"/>
    <n v="31.8"/>
    <n v="67"/>
    <n v="32"/>
    <b v="1"/>
    <b v="1"/>
  </r>
  <r>
    <x v="3"/>
    <n v="4"/>
    <s v="Amajuba"/>
    <x v="1"/>
    <x v="1"/>
    <n v="1947"/>
    <n v="31.8"/>
    <n v="62"/>
    <n v="32"/>
    <b v="1"/>
    <b v="1"/>
  </r>
  <r>
    <x v="3"/>
    <n v="4"/>
    <s v="Amajuba"/>
    <x v="1"/>
    <x v="2"/>
    <n v="1876"/>
    <n v="31.8"/>
    <n v="59"/>
    <n v="32"/>
    <b v="1"/>
    <b v="1"/>
  </r>
  <r>
    <x v="3"/>
    <n v="4"/>
    <s v="Amajuba"/>
    <x v="2"/>
    <x v="0"/>
    <n v="6722"/>
    <n v="31.8"/>
    <n v="212"/>
    <n v="59"/>
    <b v="1"/>
    <b v="1"/>
  </r>
  <r>
    <x v="3"/>
    <n v="4"/>
    <s v="Amajuba"/>
    <x v="2"/>
    <x v="1"/>
    <n v="6276"/>
    <n v="31.8"/>
    <n v="198"/>
    <n v="59"/>
    <b v="1"/>
    <b v="1"/>
  </r>
  <r>
    <x v="3"/>
    <n v="4"/>
    <s v="Amajuba"/>
    <x v="2"/>
    <x v="2"/>
    <n v="6284"/>
    <n v="31.8"/>
    <n v="198"/>
    <n v="59"/>
    <b v="1"/>
    <b v="1"/>
  </r>
  <r>
    <x v="3"/>
    <n v="4"/>
    <s v="Amajuba"/>
    <x v="3"/>
    <x v="0"/>
    <n v="1243"/>
    <n v="31.8"/>
    <n v="40"/>
    <n v="17"/>
    <b v="0"/>
    <b v="1"/>
  </r>
  <r>
    <x v="3"/>
    <n v="4"/>
    <s v="Amajuba"/>
    <x v="3"/>
    <x v="1"/>
    <n v="1271"/>
    <n v="31.8"/>
    <n v="40"/>
    <n v="17"/>
    <b v="0"/>
    <b v="1"/>
  </r>
  <r>
    <x v="3"/>
    <n v="4"/>
    <s v="Amajuba"/>
    <x v="3"/>
    <x v="2"/>
    <n v="1301"/>
    <n v="31.8"/>
    <n v="41"/>
    <n v="17"/>
    <b v="0"/>
    <b v="1"/>
  </r>
  <r>
    <x v="3"/>
    <n v="4"/>
    <s v="Amajuba"/>
    <x v="4"/>
    <x v="0"/>
    <n v="948"/>
    <n v="31.8"/>
    <n v="30"/>
    <n v="10"/>
    <b v="0"/>
    <b v="1"/>
  </r>
  <r>
    <x v="3"/>
    <n v="4"/>
    <s v="Amajuba"/>
    <x v="4"/>
    <x v="1"/>
    <n v="936"/>
    <n v="31.8"/>
    <n v="30"/>
    <n v="10"/>
    <b v="0"/>
    <b v="1"/>
  </r>
  <r>
    <x v="3"/>
    <n v="4"/>
    <s v="Amajuba"/>
    <x v="4"/>
    <x v="2"/>
    <n v="995"/>
    <n v="31.8"/>
    <n v="32"/>
    <n v="10"/>
    <b v="0"/>
    <b v="1"/>
  </r>
  <r>
    <x v="3"/>
    <n v="4"/>
    <s v="Harry Gwala"/>
    <x v="0"/>
    <x v="0"/>
    <n v="3667"/>
    <n v="30.57"/>
    <n v="120"/>
    <n v="68"/>
    <b v="1"/>
    <b v="1"/>
  </r>
  <r>
    <x v="3"/>
    <n v="4"/>
    <s v="Harry Gwala"/>
    <x v="0"/>
    <x v="1"/>
    <n v="3161"/>
    <n v="30.57"/>
    <n v="104"/>
    <n v="68"/>
    <b v="1"/>
    <b v="1"/>
  </r>
  <r>
    <x v="3"/>
    <n v="4"/>
    <s v="Harry Gwala"/>
    <x v="0"/>
    <x v="2"/>
    <n v="3141"/>
    <n v="30.57"/>
    <n v="103"/>
    <n v="68"/>
    <b v="1"/>
    <b v="1"/>
  </r>
  <r>
    <x v="3"/>
    <n v="4"/>
    <s v="Harry Gwala"/>
    <x v="1"/>
    <x v="0"/>
    <n v="5178"/>
    <n v="30.57"/>
    <n v="170"/>
    <n v="96"/>
    <b v="1"/>
    <b v="1"/>
  </r>
  <r>
    <x v="3"/>
    <n v="4"/>
    <s v="Harry Gwala"/>
    <x v="1"/>
    <x v="1"/>
    <n v="4840"/>
    <n v="30.57"/>
    <n v="159"/>
    <n v="96"/>
    <b v="1"/>
    <b v="1"/>
  </r>
  <r>
    <x v="3"/>
    <n v="4"/>
    <s v="Harry Gwala"/>
    <x v="1"/>
    <x v="2"/>
    <n v="4892"/>
    <n v="30.57"/>
    <n v="161"/>
    <n v="96"/>
    <b v="1"/>
    <b v="1"/>
  </r>
  <r>
    <x v="3"/>
    <n v="4"/>
    <s v="Harry Gwala"/>
    <x v="2"/>
    <x v="0"/>
    <n v="1545"/>
    <n v="30.57"/>
    <n v="51"/>
    <n v="20"/>
    <b v="1"/>
    <b v="1"/>
  </r>
  <r>
    <x v="3"/>
    <n v="4"/>
    <s v="Harry Gwala"/>
    <x v="2"/>
    <x v="1"/>
    <n v="1485"/>
    <n v="30.57"/>
    <n v="49"/>
    <n v="20"/>
    <b v="1"/>
    <b v="1"/>
  </r>
  <r>
    <x v="3"/>
    <n v="4"/>
    <s v="Harry Gwala"/>
    <x v="2"/>
    <x v="2"/>
    <n v="1396"/>
    <n v="30.57"/>
    <n v="46"/>
    <n v="20"/>
    <b v="1"/>
    <b v="1"/>
  </r>
  <r>
    <x v="3"/>
    <n v="4"/>
    <s v="Harry Gwala"/>
    <x v="3"/>
    <x v="0"/>
    <n v="539"/>
    <n v="30.57"/>
    <n v="18"/>
    <n v="6"/>
    <b v="0"/>
    <b v="1"/>
  </r>
  <r>
    <x v="3"/>
    <n v="4"/>
    <s v="Harry Gwala"/>
    <x v="3"/>
    <x v="1"/>
    <n v="515"/>
    <n v="30.57"/>
    <n v="17"/>
    <n v="6"/>
    <b v="0"/>
    <b v="1"/>
  </r>
  <r>
    <x v="3"/>
    <n v="4"/>
    <s v="Harry Gwala"/>
    <x v="3"/>
    <x v="2"/>
    <n v="475"/>
    <n v="30.57"/>
    <n v="16"/>
    <n v="6"/>
    <b v="0"/>
    <b v="1"/>
  </r>
  <r>
    <x v="3"/>
    <n v="4"/>
    <s v="Harry Gwala"/>
    <x v="4"/>
    <x v="0"/>
    <n v="59"/>
    <n v="30.57"/>
    <n v="2"/>
    <n v="1"/>
    <b v="0"/>
    <b v="1"/>
  </r>
  <r>
    <x v="3"/>
    <n v="4"/>
    <s v="Harry Gwala"/>
    <x v="4"/>
    <x v="1"/>
    <n v="64"/>
    <n v="30.57"/>
    <n v="3"/>
    <n v="1"/>
    <b v="0"/>
    <b v="1"/>
  </r>
  <r>
    <x v="3"/>
    <n v="4"/>
    <s v="Harry Gwala"/>
    <x v="4"/>
    <x v="2"/>
    <n v="61"/>
    <n v="30.57"/>
    <n v="2"/>
    <n v="1"/>
    <b v="0"/>
    <b v="1"/>
  </r>
  <r>
    <x v="3"/>
    <n v="4"/>
    <s v="Ilembe"/>
    <x v="0"/>
    <x v="0"/>
    <n v="3396"/>
    <n v="32.26"/>
    <n v="106"/>
    <n v="64"/>
    <b v="1"/>
    <b v="1"/>
  </r>
  <r>
    <x v="3"/>
    <n v="4"/>
    <s v="Ilembe"/>
    <x v="0"/>
    <x v="1"/>
    <n v="3196"/>
    <n v="32.26"/>
    <n v="100"/>
    <n v="64"/>
    <b v="1"/>
    <b v="1"/>
  </r>
  <r>
    <x v="3"/>
    <n v="4"/>
    <s v="Ilembe"/>
    <x v="0"/>
    <x v="2"/>
    <n v="3192"/>
    <n v="32.26"/>
    <n v="99"/>
    <n v="64"/>
    <b v="1"/>
    <b v="1"/>
  </r>
  <r>
    <x v="3"/>
    <n v="4"/>
    <s v="Ilembe"/>
    <x v="1"/>
    <x v="0"/>
    <n v="4133"/>
    <n v="32.26"/>
    <n v="129"/>
    <n v="59"/>
    <b v="1"/>
    <b v="1"/>
  </r>
  <r>
    <x v="3"/>
    <n v="4"/>
    <s v="Ilembe"/>
    <x v="1"/>
    <x v="1"/>
    <n v="3758"/>
    <n v="32.26"/>
    <n v="117"/>
    <n v="59"/>
    <b v="1"/>
    <b v="1"/>
  </r>
  <r>
    <x v="3"/>
    <n v="4"/>
    <s v="Ilembe"/>
    <x v="1"/>
    <x v="2"/>
    <n v="3609"/>
    <n v="32.26"/>
    <n v="112"/>
    <n v="59"/>
    <b v="1"/>
    <b v="1"/>
  </r>
  <r>
    <x v="3"/>
    <n v="4"/>
    <s v="Ilembe"/>
    <x v="2"/>
    <x v="0"/>
    <n v="4834"/>
    <n v="32.26"/>
    <n v="150"/>
    <n v="47"/>
    <b v="1"/>
    <b v="1"/>
  </r>
  <r>
    <x v="3"/>
    <n v="4"/>
    <s v="Ilembe"/>
    <x v="2"/>
    <x v="1"/>
    <n v="4567"/>
    <n v="32.26"/>
    <n v="142"/>
    <n v="47"/>
    <b v="1"/>
    <b v="1"/>
  </r>
  <r>
    <x v="3"/>
    <n v="4"/>
    <s v="Ilembe"/>
    <x v="2"/>
    <x v="2"/>
    <n v="4366"/>
    <n v="32.26"/>
    <n v="136"/>
    <n v="47"/>
    <b v="1"/>
    <b v="1"/>
  </r>
  <r>
    <x v="3"/>
    <n v="4"/>
    <s v="Ilembe"/>
    <x v="3"/>
    <x v="0"/>
    <n v="1417"/>
    <n v="32.26"/>
    <n v="44"/>
    <n v="13"/>
    <b v="0"/>
    <b v="1"/>
  </r>
  <r>
    <x v="3"/>
    <n v="4"/>
    <s v="Ilembe"/>
    <x v="3"/>
    <x v="1"/>
    <n v="1330"/>
    <n v="32.26"/>
    <n v="42"/>
    <n v="13"/>
    <b v="0"/>
    <b v="1"/>
  </r>
  <r>
    <x v="3"/>
    <n v="4"/>
    <s v="Ilembe"/>
    <x v="3"/>
    <x v="2"/>
    <n v="1316"/>
    <n v="32.26"/>
    <n v="41"/>
    <n v="13"/>
    <b v="0"/>
    <b v="1"/>
  </r>
  <r>
    <x v="3"/>
    <n v="4"/>
    <s v="Ilembe"/>
    <x v="4"/>
    <x v="0"/>
    <n v="302"/>
    <n v="32.26"/>
    <n v="10"/>
    <n v="3"/>
    <b v="0"/>
    <b v="1"/>
  </r>
  <r>
    <x v="3"/>
    <n v="4"/>
    <s v="Ilembe"/>
    <x v="4"/>
    <x v="1"/>
    <n v="314"/>
    <n v="32.26"/>
    <n v="10"/>
    <n v="3"/>
    <b v="0"/>
    <b v="1"/>
  </r>
  <r>
    <x v="3"/>
    <n v="4"/>
    <s v="Ilembe"/>
    <x v="4"/>
    <x v="2"/>
    <n v="320"/>
    <n v="32.26"/>
    <n v="10"/>
    <n v="3"/>
    <b v="0"/>
    <b v="1"/>
  </r>
  <r>
    <x v="3"/>
    <n v="4"/>
    <s v="King Cetshwayo"/>
    <x v="0"/>
    <x v="0"/>
    <n v="4679"/>
    <n v="31.69"/>
    <n v="148"/>
    <n v="94"/>
    <b v="1"/>
    <b v="1"/>
  </r>
  <r>
    <x v="3"/>
    <n v="4"/>
    <s v="King Cetshwayo"/>
    <x v="0"/>
    <x v="1"/>
    <n v="4403"/>
    <n v="31.69"/>
    <n v="139"/>
    <n v="94"/>
    <b v="1"/>
    <b v="1"/>
  </r>
  <r>
    <x v="3"/>
    <n v="4"/>
    <s v="King Cetshwayo"/>
    <x v="0"/>
    <x v="2"/>
    <n v="4365"/>
    <n v="31.69"/>
    <n v="138"/>
    <n v="94"/>
    <b v="1"/>
    <b v="1"/>
  </r>
  <r>
    <x v="3"/>
    <n v="4"/>
    <s v="King Cetshwayo"/>
    <x v="1"/>
    <x v="0"/>
    <n v="6285"/>
    <n v="31.69"/>
    <n v="199"/>
    <n v="107"/>
    <b v="1"/>
    <b v="1"/>
  </r>
  <r>
    <x v="3"/>
    <n v="4"/>
    <s v="King Cetshwayo"/>
    <x v="1"/>
    <x v="1"/>
    <n v="6100"/>
    <n v="31.69"/>
    <n v="193"/>
    <n v="107"/>
    <b v="1"/>
    <b v="1"/>
  </r>
  <r>
    <x v="3"/>
    <n v="4"/>
    <s v="King Cetshwayo"/>
    <x v="1"/>
    <x v="2"/>
    <n v="6118"/>
    <n v="31.69"/>
    <n v="194"/>
    <n v="107"/>
    <b v="1"/>
    <b v="1"/>
  </r>
  <r>
    <x v="3"/>
    <n v="4"/>
    <s v="King Cetshwayo"/>
    <x v="2"/>
    <x v="0"/>
    <n v="6316"/>
    <n v="31.69"/>
    <n v="200"/>
    <n v="70"/>
    <b v="1"/>
    <b v="1"/>
  </r>
  <r>
    <x v="3"/>
    <n v="4"/>
    <s v="King Cetshwayo"/>
    <x v="2"/>
    <x v="1"/>
    <n v="5963"/>
    <n v="31.69"/>
    <n v="189"/>
    <n v="70"/>
    <b v="1"/>
    <b v="1"/>
  </r>
  <r>
    <x v="3"/>
    <n v="4"/>
    <s v="King Cetshwayo"/>
    <x v="2"/>
    <x v="2"/>
    <n v="6150"/>
    <n v="31.69"/>
    <n v="195"/>
    <n v="70"/>
    <b v="1"/>
    <b v="1"/>
  </r>
  <r>
    <x v="3"/>
    <n v="4"/>
    <s v="King Cetshwayo"/>
    <x v="3"/>
    <x v="0"/>
    <n v="2218"/>
    <n v="31.69"/>
    <n v="70"/>
    <n v="18"/>
    <b v="0"/>
    <b v="1"/>
  </r>
  <r>
    <x v="3"/>
    <n v="4"/>
    <s v="King Cetshwayo"/>
    <x v="3"/>
    <x v="1"/>
    <n v="2173"/>
    <n v="31.69"/>
    <n v="69"/>
    <n v="18"/>
    <b v="0"/>
    <b v="1"/>
  </r>
  <r>
    <x v="3"/>
    <n v="4"/>
    <s v="King Cetshwayo"/>
    <x v="3"/>
    <x v="2"/>
    <n v="2304"/>
    <n v="31.69"/>
    <n v="73"/>
    <n v="18"/>
    <b v="0"/>
    <b v="1"/>
  </r>
  <r>
    <x v="3"/>
    <n v="4"/>
    <s v="King Cetshwayo"/>
    <x v="4"/>
    <x v="0"/>
    <n v="1679"/>
    <n v="31.69"/>
    <n v="53"/>
    <n v="15"/>
    <b v="0"/>
    <b v="1"/>
  </r>
  <r>
    <x v="3"/>
    <n v="4"/>
    <s v="King Cetshwayo"/>
    <x v="4"/>
    <x v="1"/>
    <n v="1810"/>
    <n v="31.69"/>
    <n v="58"/>
    <n v="15"/>
    <b v="0"/>
    <b v="1"/>
  </r>
  <r>
    <x v="3"/>
    <n v="4"/>
    <s v="King Cetshwayo"/>
    <x v="4"/>
    <x v="2"/>
    <n v="1794"/>
    <n v="31.69"/>
    <n v="57"/>
    <n v="15"/>
    <b v="0"/>
    <b v="1"/>
  </r>
  <r>
    <x v="3"/>
    <n v="4"/>
    <s v="Pinetown"/>
    <x v="0"/>
    <x v="0"/>
    <n v="192"/>
    <n v="33.25"/>
    <n v="6"/>
    <n v="3"/>
    <b v="1"/>
    <b v="1"/>
  </r>
  <r>
    <x v="3"/>
    <n v="4"/>
    <s v="Pinetown"/>
    <x v="0"/>
    <x v="1"/>
    <n v="199"/>
    <n v="33.25"/>
    <n v="6"/>
    <n v="3"/>
    <b v="1"/>
    <b v="1"/>
  </r>
  <r>
    <x v="3"/>
    <n v="4"/>
    <s v="Pinetown"/>
    <x v="0"/>
    <x v="2"/>
    <n v="193"/>
    <n v="33.25"/>
    <n v="6"/>
    <n v="3"/>
    <b v="1"/>
    <b v="1"/>
  </r>
  <r>
    <x v="3"/>
    <n v="4"/>
    <s v="Pinetown"/>
    <x v="1"/>
    <x v="0"/>
    <n v="4310"/>
    <n v="33.25"/>
    <n v="130"/>
    <n v="46"/>
    <b v="1"/>
    <b v="1"/>
  </r>
  <r>
    <x v="3"/>
    <n v="4"/>
    <s v="Pinetown"/>
    <x v="1"/>
    <x v="1"/>
    <n v="4410"/>
    <n v="33.25"/>
    <n v="133"/>
    <n v="46"/>
    <b v="1"/>
    <b v="1"/>
  </r>
  <r>
    <x v="3"/>
    <n v="4"/>
    <s v="Pinetown"/>
    <x v="1"/>
    <x v="2"/>
    <n v="4257"/>
    <n v="33.25"/>
    <n v="129"/>
    <n v="46"/>
    <b v="1"/>
    <b v="1"/>
  </r>
  <r>
    <x v="3"/>
    <n v="4"/>
    <s v="Pinetown"/>
    <x v="2"/>
    <x v="0"/>
    <n v="13867"/>
    <n v="33.25"/>
    <n v="418"/>
    <n v="121"/>
    <b v="1"/>
    <b v="1"/>
  </r>
  <r>
    <x v="3"/>
    <n v="4"/>
    <s v="Pinetown"/>
    <x v="2"/>
    <x v="1"/>
    <n v="12676"/>
    <n v="33.25"/>
    <n v="382"/>
    <n v="121"/>
    <b v="1"/>
    <b v="1"/>
  </r>
  <r>
    <x v="3"/>
    <n v="4"/>
    <s v="Pinetown"/>
    <x v="2"/>
    <x v="2"/>
    <n v="12698"/>
    <n v="33.25"/>
    <n v="382"/>
    <n v="121"/>
    <b v="1"/>
    <b v="1"/>
  </r>
  <r>
    <x v="3"/>
    <n v="4"/>
    <s v="Pinetown"/>
    <x v="3"/>
    <x v="0"/>
    <n v="7782"/>
    <n v="33.25"/>
    <n v="235"/>
    <n v="75"/>
    <b v="0"/>
    <b v="1"/>
  </r>
  <r>
    <x v="3"/>
    <n v="4"/>
    <s v="Pinetown"/>
    <x v="3"/>
    <x v="1"/>
    <n v="7506"/>
    <n v="33.25"/>
    <n v="226"/>
    <n v="75"/>
    <b v="0"/>
    <b v="1"/>
  </r>
  <r>
    <x v="3"/>
    <n v="4"/>
    <s v="Pinetown"/>
    <x v="3"/>
    <x v="2"/>
    <n v="7248"/>
    <n v="33.25"/>
    <n v="218"/>
    <n v="75"/>
    <b v="0"/>
    <b v="1"/>
  </r>
  <r>
    <x v="3"/>
    <n v="4"/>
    <s v="Pinetown"/>
    <x v="4"/>
    <x v="0"/>
    <n v="5496"/>
    <n v="33.25"/>
    <n v="166"/>
    <n v="72"/>
    <b v="0"/>
    <b v="1"/>
  </r>
  <r>
    <x v="3"/>
    <n v="4"/>
    <s v="Pinetown"/>
    <x v="4"/>
    <x v="1"/>
    <n v="5578"/>
    <n v="33.25"/>
    <n v="168"/>
    <n v="72"/>
    <b v="0"/>
    <b v="1"/>
  </r>
  <r>
    <x v="3"/>
    <n v="4"/>
    <s v="Pinetown"/>
    <x v="4"/>
    <x v="2"/>
    <n v="5642"/>
    <n v="33.25"/>
    <n v="170"/>
    <n v="72"/>
    <b v="0"/>
    <b v="1"/>
  </r>
  <r>
    <x v="3"/>
    <n v="4"/>
    <s v="Ugu"/>
    <x v="0"/>
    <x v="0"/>
    <n v="2733"/>
    <n v="32.159999999999997"/>
    <n v="85"/>
    <n v="49"/>
    <b v="1"/>
    <b v="1"/>
  </r>
  <r>
    <x v="3"/>
    <n v="4"/>
    <s v="Ugu"/>
    <x v="0"/>
    <x v="1"/>
    <n v="2414"/>
    <n v="32.159999999999997"/>
    <n v="76"/>
    <n v="49"/>
    <b v="1"/>
    <b v="1"/>
  </r>
  <r>
    <x v="3"/>
    <n v="4"/>
    <s v="Ugu"/>
    <x v="0"/>
    <x v="2"/>
    <n v="2593"/>
    <n v="32.159999999999997"/>
    <n v="81"/>
    <n v="49"/>
    <b v="1"/>
    <b v="1"/>
  </r>
  <r>
    <x v="3"/>
    <n v="4"/>
    <s v="Ugu"/>
    <x v="1"/>
    <x v="0"/>
    <n v="7223"/>
    <n v="32.159999999999997"/>
    <n v="225"/>
    <n v="94"/>
    <b v="1"/>
    <b v="1"/>
  </r>
  <r>
    <x v="3"/>
    <n v="4"/>
    <s v="Ugu"/>
    <x v="1"/>
    <x v="1"/>
    <n v="6547"/>
    <n v="32.159999999999997"/>
    <n v="204"/>
    <n v="94"/>
    <b v="1"/>
    <b v="1"/>
  </r>
  <r>
    <x v="3"/>
    <n v="4"/>
    <s v="Ugu"/>
    <x v="1"/>
    <x v="2"/>
    <n v="6838"/>
    <n v="32.159999999999997"/>
    <n v="213"/>
    <n v="94"/>
    <b v="1"/>
    <b v="1"/>
  </r>
  <r>
    <x v="3"/>
    <n v="4"/>
    <s v="Ugu"/>
    <x v="2"/>
    <x v="0"/>
    <n v="3710"/>
    <n v="32.159999999999997"/>
    <n v="116"/>
    <n v="45"/>
    <b v="1"/>
    <b v="1"/>
  </r>
  <r>
    <x v="3"/>
    <n v="4"/>
    <s v="Ugu"/>
    <x v="2"/>
    <x v="1"/>
    <n v="3433"/>
    <n v="32.159999999999997"/>
    <n v="107"/>
    <n v="45"/>
    <b v="1"/>
    <b v="1"/>
  </r>
  <r>
    <x v="3"/>
    <n v="4"/>
    <s v="Ugu"/>
    <x v="2"/>
    <x v="2"/>
    <n v="3464"/>
    <n v="32.159999999999997"/>
    <n v="108"/>
    <n v="45"/>
    <b v="1"/>
    <b v="1"/>
  </r>
  <r>
    <x v="3"/>
    <n v="4"/>
    <s v="Ugu"/>
    <x v="3"/>
    <x v="0"/>
    <n v="1680"/>
    <n v="32.159999999999997"/>
    <n v="53"/>
    <n v="16"/>
    <b v="0"/>
    <b v="1"/>
  </r>
  <r>
    <x v="3"/>
    <n v="4"/>
    <s v="Ugu"/>
    <x v="3"/>
    <x v="1"/>
    <n v="1491"/>
    <n v="32.159999999999997"/>
    <n v="47"/>
    <n v="16"/>
    <b v="0"/>
    <b v="1"/>
  </r>
  <r>
    <x v="3"/>
    <n v="4"/>
    <s v="Ugu"/>
    <x v="3"/>
    <x v="2"/>
    <n v="1599"/>
    <n v="32.159999999999997"/>
    <n v="50"/>
    <n v="16"/>
    <b v="0"/>
    <b v="1"/>
  </r>
  <r>
    <x v="3"/>
    <n v="4"/>
    <s v="Ugu"/>
    <x v="4"/>
    <x v="0"/>
    <n v="1378"/>
    <n v="32.159999999999997"/>
    <n v="43"/>
    <n v="16"/>
    <b v="0"/>
    <b v="1"/>
  </r>
  <r>
    <x v="3"/>
    <n v="4"/>
    <s v="Ugu"/>
    <x v="4"/>
    <x v="1"/>
    <n v="1385"/>
    <n v="32.159999999999997"/>
    <n v="44"/>
    <n v="16"/>
    <b v="0"/>
    <b v="1"/>
  </r>
  <r>
    <x v="3"/>
    <n v="4"/>
    <s v="Ugu"/>
    <x v="4"/>
    <x v="2"/>
    <n v="1349"/>
    <n v="32.159999999999997"/>
    <n v="42"/>
    <n v="16"/>
    <b v="0"/>
    <b v="1"/>
  </r>
  <r>
    <x v="3"/>
    <n v="4"/>
    <s v="Umgungundlovu"/>
    <x v="0"/>
    <x v="0"/>
    <n v="724"/>
    <n v="31.32"/>
    <n v="24"/>
    <n v="16"/>
    <b v="1"/>
    <b v="1"/>
  </r>
  <r>
    <x v="3"/>
    <n v="4"/>
    <s v="Umgungundlovu"/>
    <x v="0"/>
    <x v="1"/>
    <n v="690"/>
    <n v="31.32"/>
    <n v="23"/>
    <n v="16"/>
    <b v="1"/>
    <b v="1"/>
  </r>
  <r>
    <x v="3"/>
    <n v="4"/>
    <s v="Umgungundlovu"/>
    <x v="0"/>
    <x v="2"/>
    <n v="669"/>
    <n v="31.32"/>
    <n v="22"/>
    <n v="16"/>
    <b v="1"/>
    <b v="1"/>
  </r>
  <r>
    <x v="3"/>
    <n v="4"/>
    <s v="Umgungundlovu"/>
    <x v="1"/>
    <x v="0"/>
    <n v="2817"/>
    <n v="31.32"/>
    <n v="90"/>
    <n v="48"/>
    <b v="1"/>
    <b v="1"/>
  </r>
  <r>
    <x v="3"/>
    <n v="4"/>
    <s v="Umgungundlovu"/>
    <x v="1"/>
    <x v="1"/>
    <n v="2647"/>
    <n v="31.32"/>
    <n v="85"/>
    <n v="48"/>
    <b v="1"/>
    <b v="1"/>
  </r>
  <r>
    <x v="3"/>
    <n v="4"/>
    <s v="Umgungundlovu"/>
    <x v="1"/>
    <x v="2"/>
    <n v="2737"/>
    <n v="31.32"/>
    <n v="88"/>
    <n v="48"/>
    <b v="1"/>
    <b v="1"/>
  </r>
  <r>
    <x v="3"/>
    <n v="4"/>
    <s v="Umgungundlovu"/>
    <x v="2"/>
    <x v="0"/>
    <n v="9280"/>
    <n v="31.32"/>
    <n v="297"/>
    <n v="101"/>
    <b v="1"/>
    <b v="1"/>
  </r>
  <r>
    <x v="3"/>
    <n v="4"/>
    <s v="Umgungundlovu"/>
    <x v="2"/>
    <x v="1"/>
    <n v="8238"/>
    <n v="31.32"/>
    <n v="264"/>
    <n v="101"/>
    <b v="1"/>
    <b v="1"/>
  </r>
  <r>
    <x v="3"/>
    <n v="4"/>
    <s v="Umgungundlovu"/>
    <x v="2"/>
    <x v="2"/>
    <n v="8027"/>
    <n v="31.32"/>
    <n v="257"/>
    <n v="101"/>
    <b v="1"/>
    <b v="1"/>
  </r>
  <r>
    <x v="3"/>
    <n v="4"/>
    <s v="Umgungundlovu"/>
    <x v="3"/>
    <x v="0"/>
    <n v="2696"/>
    <n v="31.32"/>
    <n v="87"/>
    <n v="25"/>
    <b v="0"/>
    <b v="1"/>
  </r>
  <r>
    <x v="3"/>
    <n v="4"/>
    <s v="Umgungundlovu"/>
    <x v="3"/>
    <x v="1"/>
    <n v="2640"/>
    <n v="31.32"/>
    <n v="85"/>
    <n v="25"/>
    <b v="0"/>
    <b v="1"/>
  </r>
  <r>
    <x v="3"/>
    <n v="4"/>
    <s v="Umgungundlovu"/>
    <x v="3"/>
    <x v="2"/>
    <n v="2466"/>
    <n v="31.32"/>
    <n v="79"/>
    <n v="25"/>
    <b v="0"/>
    <b v="1"/>
  </r>
  <r>
    <x v="3"/>
    <n v="4"/>
    <s v="Umgungundlovu"/>
    <x v="4"/>
    <x v="0"/>
    <n v="3329"/>
    <n v="31.32"/>
    <n v="107"/>
    <n v="39"/>
    <b v="0"/>
    <b v="1"/>
  </r>
  <r>
    <x v="3"/>
    <n v="4"/>
    <s v="Umgungundlovu"/>
    <x v="4"/>
    <x v="1"/>
    <n v="3321"/>
    <n v="31.32"/>
    <n v="107"/>
    <n v="39"/>
    <b v="0"/>
    <b v="1"/>
  </r>
  <r>
    <x v="3"/>
    <n v="4"/>
    <s v="Umgungundlovu"/>
    <x v="4"/>
    <x v="2"/>
    <n v="3426"/>
    <n v="31.32"/>
    <n v="110"/>
    <n v="39"/>
    <b v="0"/>
    <b v="1"/>
  </r>
  <r>
    <x v="3"/>
    <n v="4"/>
    <s v="Umkhanyakude"/>
    <x v="0"/>
    <x v="0"/>
    <n v="9182"/>
    <n v="33.49"/>
    <n v="275"/>
    <n v="130"/>
    <b v="1"/>
    <b v="1"/>
  </r>
  <r>
    <x v="3"/>
    <n v="4"/>
    <s v="Umkhanyakude"/>
    <x v="0"/>
    <x v="1"/>
    <n v="8371"/>
    <n v="33.49"/>
    <n v="250"/>
    <n v="130"/>
    <b v="1"/>
    <b v="1"/>
  </r>
  <r>
    <x v="3"/>
    <n v="4"/>
    <s v="Umkhanyakude"/>
    <x v="0"/>
    <x v="2"/>
    <n v="8351"/>
    <n v="33.49"/>
    <n v="250"/>
    <n v="130"/>
    <b v="1"/>
    <b v="1"/>
  </r>
  <r>
    <x v="3"/>
    <n v="4"/>
    <s v="Umkhanyakude"/>
    <x v="1"/>
    <x v="0"/>
    <n v="8132"/>
    <n v="33.49"/>
    <n v="243"/>
    <n v="118"/>
    <b v="1"/>
    <b v="1"/>
  </r>
  <r>
    <x v="3"/>
    <n v="4"/>
    <s v="Umkhanyakude"/>
    <x v="1"/>
    <x v="1"/>
    <n v="7573"/>
    <n v="33.49"/>
    <n v="227"/>
    <n v="118"/>
    <b v="1"/>
    <b v="1"/>
  </r>
  <r>
    <x v="3"/>
    <n v="4"/>
    <s v="Umkhanyakude"/>
    <x v="1"/>
    <x v="2"/>
    <n v="7498"/>
    <n v="33.49"/>
    <n v="224"/>
    <n v="118"/>
    <b v="1"/>
    <b v="1"/>
  </r>
  <r>
    <x v="3"/>
    <n v="4"/>
    <s v="Umkhanyakude"/>
    <x v="2"/>
    <x v="0"/>
    <n v="1425"/>
    <n v="33.49"/>
    <n v="43"/>
    <n v="19"/>
    <b v="1"/>
    <b v="1"/>
  </r>
  <r>
    <x v="3"/>
    <n v="4"/>
    <s v="Umkhanyakude"/>
    <x v="2"/>
    <x v="1"/>
    <n v="1269"/>
    <n v="33.49"/>
    <n v="38"/>
    <n v="19"/>
    <b v="1"/>
    <b v="1"/>
  </r>
  <r>
    <x v="3"/>
    <n v="4"/>
    <s v="Umkhanyakude"/>
    <x v="2"/>
    <x v="2"/>
    <n v="1218"/>
    <n v="33.49"/>
    <n v="37"/>
    <n v="19"/>
    <b v="1"/>
    <b v="1"/>
  </r>
  <r>
    <x v="3"/>
    <n v="4"/>
    <s v="Umkhanyakude"/>
    <x v="3"/>
    <x v="0"/>
    <n v="575"/>
    <n v="33.49"/>
    <n v="18"/>
    <n v="7"/>
    <b v="0"/>
    <b v="1"/>
  </r>
  <r>
    <x v="3"/>
    <n v="4"/>
    <s v="Umkhanyakude"/>
    <x v="3"/>
    <x v="1"/>
    <n v="585"/>
    <n v="33.49"/>
    <n v="18"/>
    <n v="7"/>
    <b v="0"/>
    <b v="1"/>
  </r>
  <r>
    <x v="3"/>
    <n v="4"/>
    <s v="Umkhanyakude"/>
    <x v="3"/>
    <x v="2"/>
    <n v="583"/>
    <n v="33.49"/>
    <n v="18"/>
    <n v="7"/>
    <b v="0"/>
    <b v="1"/>
  </r>
  <r>
    <x v="3"/>
    <n v="4"/>
    <s v="Umlazi"/>
    <x v="0"/>
    <x v="0"/>
    <n v="90"/>
    <n v="31.86"/>
    <n v="3"/>
    <n v="1"/>
    <b v="1"/>
    <b v="1"/>
  </r>
  <r>
    <x v="3"/>
    <n v="4"/>
    <s v="Umlazi"/>
    <x v="0"/>
    <x v="1"/>
    <n v="84"/>
    <n v="31.86"/>
    <n v="3"/>
    <n v="1"/>
    <b v="1"/>
    <b v="1"/>
  </r>
  <r>
    <x v="3"/>
    <n v="4"/>
    <s v="Umlazi"/>
    <x v="0"/>
    <x v="2"/>
    <n v="72"/>
    <n v="31.86"/>
    <n v="3"/>
    <n v="1"/>
    <b v="1"/>
    <b v="1"/>
  </r>
  <r>
    <x v="3"/>
    <n v="4"/>
    <s v="Umlazi"/>
    <x v="1"/>
    <x v="0"/>
    <n v="1382"/>
    <n v="31.86"/>
    <n v="44"/>
    <n v="12"/>
    <b v="1"/>
    <b v="1"/>
  </r>
  <r>
    <x v="3"/>
    <n v="4"/>
    <s v="Umlazi"/>
    <x v="1"/>
    <x v="1"/>
    <n v="1304"/>
    <n v="31.86"/>
    <n v="41"/>
    <n v="12"/>
    <b v="1"/>
    <b v="1"/>
  </r>
  <r>
    <x v="3"/>
    <n v="4"/>
    <s v="Umlazi"/>
    <x v="1"/>
    <x v="2"/>
    <n v="1335"/>
    <n v="31.86"/>
    <n v="42"/>
    <n v="12"/>
    <b v="1"/>
    <b v="1"/>
  </r>
  <r>
    <x v="3"/>
    <n v="4"/>
    <s v="Umlazi"/>
    <x v="2"/>
    <x v="0"/>
    <n v="8873"/>
    <n v="31.86"/>
    <n v="279"/>
    <n v="76"/>
    <b v="1"/>
    <b v="1"/>
  </r>
  <r>
    <x v="3"/>
    <n v="4"/>
    <s v="Umlazi"/>
    <x v="2"/>
    <x v="1"/>
    <n v="8423"/>
    <n v="31.86"/>
    <n v="265"/>
    <n v="76"/>
    <b v="1"/>
    <b v="1"/>
  </r>
  <r>
    <x v="3"/>
    <n v="4"/>
    <s v="Umlazi"/>
    <x v="2"/>
    <x v="2"/>
    <n v="8337"/>
    <n v="31.86"/>
    <n v="262"/>
    <n v="76"/>
    <b v="1"/>
    <b v="1"/>
  </r>
  <r>
    <x v="3"/>
    <n v="4"/>
    <s v="Umlazi"/>
    <x v="3"/>
    <x v="0"/>
    <n v="9118"/>
    <n v="31.86"/>
    <n v="287"/>
    <n v="91"/>
    <b v="0"/>
    <b v="1"/>
  </r>
  <r>
    <x v="3"/>
    <n v="4"/>
    <s v="Umlazi"/>
    <x v="3"/>
    <x v="1"/>
    <n v="8781"/>
    <n v="31.86"/>
    <n v="276"/>
    <n v="91"/>
    <b v="0"/>
    <b v="1"/>
  </r>
  <r>
    <x v="3"/>
    <n v="4"/>
    <s v="Umlazi"/>
    <x v="3"/>
    <x v="2"/>
    <n v="8664"/>
    <n v="31.86"/>
    <n v="272"/>
    <n v="91"/>
    <b v="0"/>
    <b v="1"/>
  </r>
  <r>
    <x v="3"/>
    <n v="4"/>
    <s v="Umlazi"/>
    <x v="4"/>
    <x v="0"/>
    <n v="11526"/>
    <n v="31.86"/>
    <n v="362"/>
    <n v="119"/>
    <b v="0"/>
    <b v="1"/>
  </r>
  <r>
    <x v="3"/>
    <n v="4"/>
    <s v="Umlazi"/>
    <x v="4"/>
    <x v="1"/>
    <n v="11324"/>
    <n v="31.86"/>
    <n v="356"/>
    <n v="119"/>
    <b v="0"/>
    <b v="1"/>
  </r>
  <r>
    <x v="3"/>
    <n v="4"/>
    <s v="Umlazi"/>
    <x v="4"/>
    <x v="2"/>
    <n v="11528"/>
    <n v="31.86"/>
    <n v="362"/>
    <n v="119"/>
    <b v="0"/>
    <b v="1"/>
  </r>
  <r>
    <x v="3"/>
    <n v="4"/>
    <s v="Umzinyathi"/>
    <x v="0"/>
    <x v="0"/>
    <n v="8933"/>
    <n v="32.130000000000003"/>
    <n v="279"/>
    <n v="160"/>
    <b v="1"/>
    <b v="1"/>
  </r>
  <r>
    <x v="3"/>
    <n v="4"/>
    <s v="Umzinyathi"/>
    <x v="0"/>
    <x v="1"/>
    <n v="8154"/>
    <n v="32.130000000000003"/>
    <n v="254"/>
    <n v="160"/>
    <b v="1"/>
    <b v="1"/>
  </r>
  <r>
    <x v="3"/>
    <n v="4"/>
    <s v="Umzinyathi"/>
    <x v="0"/>
    <x v="2"/>
    <n v="8214"/>
    <n v="32.130000000000003"/>
    <n v="256"/>
    <n v="160"/>
    <b v="1"/>
    <b v="1"/>
  </r>
  <r>
    <x v="3"/>
    <n v="4"/>
    <s v="Umzinyathi"/>
    <x v="1"/>
    <x v="0"/>
    <n v="2814"/>
    <n v="32.130000000000003"/>
    <n v="88"/>
    <n v="39"/>
    <b v="1"/>
    <b v="1"/>
  </r>
  <r>
    <x v="3"/>
    <n v="4"/>
    <s v="Umzinyathi"/>
    <x v="1"/>
    <x v="1"/>
    <n v="2649"/>
    <n v="32.130000000000003"/>
    <n v="83"/>
    <n v="39"/>
    <b v="1"/>
    <b v="1"/>
  </r>
  <r>
    <x v="3"/>
    <n v="4"/>
    <s v="Umzinyathi"/>
    <x v="1"/>
    <x v="2"/>
    <n v="2578"/>
    <n v="32.130000000000003"/>
    <n v="81"/>
    <n v="39"/>
    <b v="1"/>
    <b v="1"/>
  </r>
  <r>
    <x v="3"/>
    <n v="4"/>
    <s v="Umzinyathi"/>
    <x v="2"/>
    <x v="0"/>
    <n v="1066"/>
    <n v="32.130000000000003"/>
    <n v="34"/>
    <n v="20"/>
    <b v="1"/>
    <b v="1"/>
  </r>
  <r>
    <x v="3"/>
    <n v="4"/>
    <s v="Umzinyathi"/>
    <x v="2"/>
    <x v="1"/>
    <n v="1081"/>
    <n v="32.130000000000003"/>
    <n v="34"/>
    <n v="20"/>
    <b v="1"/>
    <b v="1"/>
  </r>
  <r>
    <x v="3"/>
    <n v="4"/>
    <s v="Umzinyathi"/>
    <x v="2"/>
    <x v="2"/>
    <n v="1097"/>
    <n v="32.130000000000003"/>
    <n v="35"/>
    <n v="20"/>
    <b v="1"/>
    <b v="1"/>
  </r>
  <r>
    <x v="3"/>
    <n v="4"/>
    <s v="Umzinyathi"/>
    <x v="3"/>
    <x v="0"/>
    <n v="1047"/>
    <n v="32.130000000000003"/>
    <n v="33"/>
    <n v="8"/>
    <b v="0"/>
    <b v="1"/>
  </r>
  <r>
    <x v="3"/>
    <n v="4"/>
    <s v="Umzinyathi"/>
    <x v="3"/>
    <x v="1"/>
    <n v="962"/>
    <n v="32.130000000000003"/>
    <n v="30"/>
    <n v="8"/>
    <b v="0"/>
    <b v="1"/>
  </r>
  <r>
    <x v="3"/>
    <n v="4"/>
    <s v="Umzinyathi"/>
    <x v="3"/>
    <x v="2"/>
    <n v="976"/>
    <n v="32.130000000000003"/>
    <n v="31"/>
    <n v="8"/>
    <b v="0"/>
    <b v="1"/>
  </r>
  <r>
    <x v="3"/>
    <n v="4"/>
    <s v="Umzinyathi"/>
    <x v="4"/>
    <x v="0"/>
    <n v="263"/>
    <n v="32.130000000000003"/>
    <n v="9"/>
    <n v="3"/>
    <b v="0"/>
    <b v="1"/>
  </r>
  <r>
    <x v="3"/>
    <n v="4"/>
    <s v="Umzinyathi"/>
    <x v="4"/>
    <x v="1"/>
    <n v="245"/>
    <n v="32.130000000000003"/>
    <n v="8"/>
    <n v="3"/>
    <b v="0"/>
    <b v="1"/>
  </r>
  <r>
    <x v="3"/>
    <n v="4"/>
    <s v="Umzinyathi"/>
    <x v="4"/>
    <x v="2"/>
    <n v="267"/>
    <n v="32.130000000000003"/>
    <n v="9"/>
    <n v="3"/>
    <b v="0"/>
    <b v="1"/>
  </r>
  <r>
    <x v="3"/>
    <n v="4"/>
    <s v="Uthukela"/>
    <x v="0"/>
    <x v="0"/>
    <n v="4108"/>
    <n v="33.79"/>
    <n v="122"/>
    <n v="67"/>
    <b v="1"/>
    <b v="1"/>
  </r>
  <r>
    <x v="3"/>
    <n v="4"/>
    <s v="Uthukela"/>
    <x v="0"/>
    <x v="1"/>
    <n v="3700"/>
    <n v="33.79"/>
    <n v="110"/>
    <n v="67"/>
    <b v="1"/>
    <b v="1"/>
  </r>
  <r>
    <x v="3"/>
    <n v="4"/>
    <s v="Uthukela"/>
    <x v="0"/>
    <x v="2"/>
    <n v="3759"/>
    <n v="33.79"/>
    <n v="112"/>
    <n v="67"/>
    <b v="1"/>
    <b v="1"/>
  </r>
  <r>
    <x v="3"/>
    <n v="4"/>
    <s v="Uthukela"/>
    <x v="1"/>
    <x v="0"/>
    <n v="4394"/>
    <n v="33.79"/>
    <n v="131"/>
    <n v="62"/>
    <b v="1"/>
    <b v="1"/>
  </r>
  <r>
    <x v="3"/>
    <n v="4"/>
    <s v="Uthukela"/>
    <x v="1"/>
    <x v="1"/>
    <n v="4033"/>
    <n v="33.79"/>
    <n v="120"/>
    <n v="62"/>
    <b v="1"/>
    <b v="1"/>
  </r>
  <r>
    <x v="3"/>
    <n v="4"/>
    <s v="Uthukela"/>
    <x v="1"/>
    <x v="2"/>
    <n v="4006"/>
    <n v="33.79"/>
    <n v="119"/>
    <n v="62"/>
    <b v="1"/>
    <b v="1"/>
  </r>
  <r>
    <x v="3"/>
    <n v="4"/>
    <s v="Uthukela"/>
    <x v="2"/>
    <x v="0"/>
    <n v="7262"/>
    <n v="33.79"/>
    <n v="215"/>
    <n v="84"/>
    <b v="1"/>
    <b v="1"/>
  </r>
  <r>
    <x v="3"/>
    <n v="4"/>
    <s v="Uthukela"/>
    <x v="2"/>
    <x v="1"/>
    <n v="6832"/>
    <n v="33.79"/>
    <n v="203"/>
    <n v="84"/>
    <b v="1"/>
    <b v="1"/>
  </r>
  <r>
    <x v="3"/>
    <n v="4"/>
    <s v="Uthukela"/>
    <x v="2"/>
    <x v="2"/>
    <n v="6743"/>
    <n v="33.79"/>
    <n v="200"/>
    <n v="84"/>
    <b v="1"/>
    <b v="1"/>
  </r>
  <r>
    <x v="3"/>
    <n v="4"/>
    <s v="Uthukela"/>
    <x v="3"/>
    <x v="0"/>
    <n v="983"/>
    <n v="33.79"/>
    <n v="30"/>
    <n v="12"/>
    <b v="0"/>
    <b v="1"/>
  </r>
  <r>
    <x v="3"/>
    <n v="4"/>
    <s v="Uthukela"/>
    <x v="3"/>
    <x v="1"/>
    <n v="1022"/>
    <n v="33.79"/>
    <n v="31"/>
    <n v="12"/>
    <b v="0"/>
    <b v="1"/>
  </r>
  <r>
    <x v="3"/>
    <n v="4"/>
    <s v="Uthukela"/>
    <x v="3"/>
    <x v="2"/>
    <n v="1017"/>
    <n v="33.79"/>
    <n v="31"/>
    <n v="12"/>
    <b v="0"/>
    <b v="1"/>
  </r>
  <r>
    <x v="3"/>
    <n v="4"/>
    <s v="Uthukela"/>
    <x v="4"/>
    <x v="0"/>
    <n v="707"/>
    <n v="33.79"/>
    <n v="21"/>
    <n v="6"/>
    <b v="0"/>
    <b v="1"/>
  </r>
  <r>
    <x v="3"/>
    <n v="4"/>
    <s v="Uthukela"/>
    <x v="4"/>
    <x v="1"/>
    <n v="681"/>
    <n v="33.79"/>
    <n v="21"/>
    <n v="6"/>
    <b v="0"/>
    <b v="1"/>
  </r>
  <r>
    <x v="3"/>
    <n v="4"/>
    <s v="Uthukela"/>
    <x v="4"/>
    <x v="2"/>
    <n v="702"/>
    <n v="33.79"/>
    <n v="21"/>
    <n v="6"/>
    <b v="0"/>
    <b v="1"/>
  </r>
  <r>
    <x v="3"/>
    <n v="4"/>
    <s v="Zululand"/>
    <x v="0"/>
    <x v="0"/>
    <n v="7251"/>
    <n v="32.450000000000003"/>
    <n v="224"/>
    <n v="143"/>
    <b v="1"/>
    <b v="1"/>
  </r>
  <r>
    <x v="3"/>
    <n v="4"/>
    <s v="Zululand"/>
    <x v="0"/>
    <x v="1"/>
    <n v="6983"/>
    <n v="32.450000000000003"/>
    <n v="216"/>
    <n v="143"/>
    <b v="1"/>
    <b v="1"/>
  </r>
  <r>
    <x v="3"/>
    <n v="4"/>
    <s v="Zululand"/>
    <x v="0"/>
    <x v="2"/>
    <n v="6794"/>
    <n v="32.450000000000003"/>
    <n v="210"/>
    <n v="143"/>
    <b v="1"/>
    <b v="1"/>
  </r>
  <r>
    <x v="3"/>
    <n v="4"/>
    <s v="Zululand"/>
    <x v="1"/>
    <x v="0"/>
    <n v="6552"/>
    <n v="32.450000000000003"/>
    <n v="202"/>
    <n v="110"/>
    <b v="1"/>
    <b v="1"/>
  </r>
  <r>
    <x v="3"/>
    <n v="4"/>
    <s v="Zululand"/>
    <x v="1"/>
    <x v="1"/>
    <n v="6493"/>
    <n v="32.450000000000003"/>
    <n v="201"/>
    <n v="110"/>
    <b v="1"/>
    <b v="1"/>
  </r>
  <r>
    <x v="3"/>
    <n v="4"/>
    <s v="Zululand"/>
    <x v="1"/>
    <x v="2"/>
    <n v="6638"/>
    <n v="32.450000000000003"/>
    <n v="205"/>
    <n v="110"/>
    <b v="1"/>
    <b v="1"/>
  </r>
  <r>
    <x v="3"/>
    <n v="4"/>
    <s v="Zululand"/>
    <x v="2"/>
    <x v="0"/>
    <n v="4939"/>
    <n v="32.450000000000003"/>
    <n v="153"/>
    <n v="57"/>
    <b v="1"/>
    <b v="1"/>
  </r>
  <r>
    <x v="3"/>
    <n v="4"/>
    <s v="Zululand"/>
    <x v="2"/>
    <x v="1"/>
    <n v="4656"/>
    <n v="32.450000000000003"/>
    <n v="144"/>
    <n v="57"/>
    <b v="1"/>
    <b v="1"/>
  </r>
  <r>
    <x v="3"/>
    <n v="4"/>
    <s v="Zululand"/>
    <x v="2"/>
    <x v="2"/>
    <n v="4671"/>
    <n v="32.450000000000003"/>
    <n v="144"/>
    <n v="57"/>
    <b v="1"/>
    <b v="1"/>
  </r>
  <r>
    <x v="3"/>
    <n v="4"/>
    <s v="Zululand"/>
    <x v="3"/>
    <x v="0"/>
    <n v="867"/>
    <n v="32.450000000000003"/>
    <n v="27"/>
    <n v="10"/>
    <b v="0"/>
    <b v="1"/>
  </r>
  <r>
    <x v="3"/>
    <n v="4"/>
    <s v="Zululand"/>
    <x v="3"/>
    <x v="1"/>
    <n v="822"/>
    <n v="32.450000000000003"/>
    <n v="26"/>
    <n v="10"/>
    <b v="0"/>
    <b v="1"/>
  </r>
  <r>
    <x v="3"/>
    <n v="4"/>
    <s v="Zululand"/>
    <x v="3"/>
    <x v="2"/>
    <n v="873"/>
    <n v="32.450000000000003"/>
    <n v="27"/>
    <n v="10"/>
    <b v="0"/>
    <b v="1"/>
  </r>
  <r>
    <x v="3"/>
    <n v="4"/>
    <s v="Zululand"/>
    <x v="4"/>
    <x v="0"/>
    <n v="341"/>
    <n v="32.450000000000003"/>
    <n v="11"/>
    <n v="3"/>
    <b v="0"/>
    <b v="1"/>
  </r>
  <r>
    <x v="3"/>
    <n v="4"/>
    <s v="Zululand"/>
    <x v="4"/>
    <x v="1"/>
    <n v="291"/>
    <n v="32.450000000000003"/>
    <n v="9"/>
    <n v="3"/>
    <b v="0"/>
    <b v="1"/>
  </r>
  <r>
    <x v="3"/>
    <n v="4"/>
    <s v="Zululand"/>
    <x v="4"/>
    <x v="2"/>
    <n v="311"/>
    <n v="32.450000000000003"/>
    <n v="10"/>
    <n v="3"/>
    <b v="0"/>
    <b v="1"/>
  </r>
  <r>
    <x v="4"/>
    <n v="5"/>
    <s v="Capricorn"/>
    <x v="0"/>
    <x v="0"/>
    <n v="5403"/>
    <n v="36.78"/>
    <n v="147"/>
    <n v="94"/>
    <b v="1"/>
    <b v="1"/>
  </r>
  <r>
    <x v="4"/>
    <n v="5"/>
    <s v="Capricorn"/>
    <x v="0"/>
    <x v="1"/>
    <n v="5114"/>
    <n v="36.78"/>
    <n v="140"/>
    <n v="94"/>
    <b v="1"/>
    <b v="1"/>
  </r>
  <r>
    <x v="4"/>
    <n v="5"/>
    <s v="Capricorn"/>
    <x v="0"/>
    <x v="2"/>
    <n v="5347"/>
    <n v="36.78"/>
    <n v="146"/>
    <n v="94"/>
    <b v="1"/>
    <b v="1"/>
  </r>
  <r>
    <x v="4"/>
    <n v="5"/>
    <s v="Capricorn"/>
    <x v="1"/>
    <x v="0"/>
    <n v="13573"/>
    <n v="36.78"/>
    <n v="370"/>
    <n v="209"/>
    <b v="1"/>
    <b v="1"/>
  </r>
  <r>
    <x v="4"/>
    <n v="5"/>
    <s v="Capricorn"/>
    <x v="1"/>
    <x v="1"/>
    <n v="12888"/>
    <n v="36.78"/>
    <n v="351"/>
    <n v="209"/>
    <b v="1"/>
    <b v="1"/>
  </r>
  <r>
    <x v="4"/>
    <n v="5"/>
    <s v="Capricorn"/>
    <x v="1"/>
    <x v="2"/>
    <n v="13315"/>
    <n v="36.78"/>
    <n v="363"/>
    <n v="209"/>
    <b v="1"/>
    <b v="1"/>
  </r>
  <r>
    <x v="4"/>
    <n v="5"/>
    <s v="Capricorn"/>
    <x v="2"/>
    <x v="0"/>
    <n v="9041"/>
    <n v="36.78"/>
    <n v="246"/>
    <n v="99"/>
    <b v="1"/>
    <b v="1"/>
  </r>
  <r>
    <x v="4"/>
    <n v="5"/>
    <s v="Capricorn"/>
    <x v="2"/>
    <x v="1"/>
    <n v="8701"/>
    <n v="36.78"/>
    <n v="237"/>
    <n v="99"/>
    <b v="1"/>
    <b v="1"/>
  </r>
  <r>
    <x v="4"/>
    <n v="5"/>
    <s v="Capricorn"/>
    <x v="2"/>
    <x v="2"/>
    <n v="8906"/>
    <n v="36.78"/>
    <n v="243"/>
    <n v="99"/>
    <b v="1"/>
    <b v="1"/>
  </r>
  <r>
    <x v="4"/>
    <n v="5"/>
    <s v="Capricorn"/>
    <x v="3"/>
    <x v="0"/>
    <n v="178"/>
    <n v="36.78"/>
    <n v="5"/>
    <n v="1"/>
    <b v="0"/>
    <b v="1"/>
  </r>
  <r>
    <x v="4"/>
    <n v="5"/>
    <s v="Capricorn"/>
    <x v="3"/>
    <x v="1"/>
    <n v="171"/>
    <n v="36.78"/>
    <n v="5"/>
    <n v="1"/>
    <b v="0"/>
    <b v="1"/>
  </r>
  <r>
    <x v="4"/>
    <n v="5"/>
    <s v="Capricorn"/>
    <x v="3"/>
    <x v="2"/>
    <n v="178"/>
    <n v="36.78"/>
    <n v="5"/>
    <n v="1"/>
    <b v="0"/>
    <b v="1"/>
  </r>
  <r>
    <x v="4"/>
    <n v="5"/>
    <s v="Capricorn"/>
    <x v="4"/>
    <x v="0"/>
    <n v="1259"/>
    <n v="36.78"/>
    <n v="35"/>
    <n v="10"/>
    <b v="0"/>
    <b v="1"/>
  </r>
  <r>
    <x v="4"/>
    <n v="5"/>
    <s v="Capricorn"/>
    <x v="4"/>
    <x v="1"/>
    <n v="1190"/>
    <n v="36.78"/>
    <n v="33"/>
    <n v="10"/>
    <b v="0"/>
    <b v="1"/>
  </r>
  <r>
    <x v="4"/>
    <n v="5"/>
    <s v="Capricorn"/>
    <x v="4"/>
    <x v="2"/>
    <n v="1248"/>
    <n v="36.78"/>
    <n v="34"/>
    <n v="10"/>
    <b v="0"/>
    <b v="1"/>
  </r>
  <r>
    <x v="4"/>
    <n v="5"/>
    <s v="Greater Sekhukhune"/>
    <x v="0"/>
    <x v="0"/>
    <n v="21742"/>
    <n v="36"/>
    <n v="604"/>
    <n v="323"/>
    <b v="1"/>
    <b v="1"/>
  </r>
  <r>
    <x v="4"/>
    <n v="5"/>
    <s v="Greater Sekhukhune"/>
    <x v="0"/>
    <x v="1"/>
    <n v="21060"/>
    <n v="36"/>
    <n v="585"/>
    <n v="323"/>
    <b v="1"/>
    <b v="1"/>
  </r>
  <r>
    <x v="4"/>
    <n v="5"/>
    <s v="Greater Sekhukhune"/>
    <x v="0"/>
    <x v="2"/>
    <n v="21577"/>
    <n v="36"/>
    <n v="600"/>
    <n v="323"/>
    <b v="1"/>
    <b v="1"/>
  </r>
  <r>
    <x v="4"/>
    <n v="5"/>
    <s v="Greater Sekhukhune"/>
    <x v="1"/>
    <x v="0"/>
    <n v="6436"/>
    <n v="36"/>
    <n v="179"/>
    <n v="81"/>
    <b v="1"/>
    <b v="1"/>
  </r>
  <r>
    <x v="4"/>
    <n v="5"/>
    <s v="Greater Sekhukhune"/>
    <x v="1"/>
    <x v="1"/>
    <n v="6163"/>
    <n v="36"/>
    <n v="172"/>
    <n v="81"/>
    <b v="1"/>
    <b v="1"/>
  </r>
  <r>
    <x v="4"/>
    <n v="5"/>
    <s v="Greater Sekhukhune"/>
    <x v="1"/>
    <x v="2"/>
    <n v="6195"/>
    <n v="36"/>
    <n v="173"/>
    <n v="81"/>
    <b v="1"/>
    <b v="1"/>
  </r>
  <r>
    <x v="4"/>
    <n v="5"/>
    <s v="Greater Sekhukhune"/>
    <x v="2"/>
    <x v="0"/>
    <n v="371"/>
    <n v="36"/>
    <n v="11"/>
    <n v="4"/>
    <b v="1"/>
    <b v="1"/>
  </r>
  <r>
    <x v="4"/>
    <n v="5"/>
    <s v="Greater Sekhukhune"/>
    <x v="2"/>
    <x v="1"/>
    <n v="367"/>
    <n v="36"/>
    <n v="11"/>
    <n v="4"/>
    <b v="1"/>
    <b v="1"/>
  </r>
  <r>
    <x v="4"/>
    <n v="5"/>
    <s v="Greater Sekhukhune"/>
    <x v="2"/>
    <x v="2"/>
    <n v="375"/>
    <n v="36"/>
    <n v="11"/>
    <n v="4"/>
    <b v="1"/>
    <b v="1"/>
  </r>
  <r>
    <x v="4"/>
    <n v="5"/>
    <s v="Greater Sekhukhune"/>
    <x v="3"/>
    <x v="0"/>
    <n v="146"/>
    <n v="36"/>
    <n v="5"/>
    <n v="2"/>
    <b v="0"/>
    <b v="1"/>
  </r>
  <r>
    <x v="4"/>
    <n v="5"/>
    <s v="Greater Sekhukhune"/>
    <x v="3"/>
    <x v="1"/>
    <n v="136"/>
    <n v="36"/>
    <n v="4"/>
    <n v="2"/>
    <b v="0"/>
    <b v="1"/>
  </r>
  <r>
    <x v="4"/>
    <n v="5"/>
    <s v="Greater Sekhukhune"/>
    <x v="3"/>
    <x v="2"/>
    <n v="136"/>
    <n v="36"/>
    <n v="4"/>
    <n v="2"/>
    <b v="0"/>
    <b v="1"/>
  </r>
  <r>
    <x v="4"/>
    <n v="5"/>
    <s v="Greater Sekhukhune"/>
    <x v="4"/>
    <x v="0"/>
    <n v="417"/>
    <n v="36"/>
    <n v="12"/>
    <n v="5"/>
    <b v="0"/>
    <b v="1"/>
  </r>
  <r>
    <x v="4"/>
    <n v="5"/>
    <s v="Greater Sekhukhune"/>
    <x v="4"/>
    <x v="1"/>
    <n v="405"/>
    <n v="36"/>
    <n v="12"/>
    <n v="5"/>
    <b v="0"/>
    <b v="1"/>
  </r>
  <r>
    <x v="4"/>
    <n v="5"/>
    <s v="Greater Sekhukhune"/>
    <x v="4"/>
    <x v="2"/>
    <n v="378"/>
    <n v="36"/>
    <n v="11"/>
    <n v="5"/>
    <b v="0"/>
    <b v="1"/>
  </r>
  <r>
    <x v="4"/>
    <n v="5"/>
    <s v="Mopani"/>
    <x v="0"/>
    <x v="0"/>
    <n v="14954"/>
    <n v="37.65"/>
    <n v="398"/>
    <n v="207"/>
    <b v="1"/>
    <b v="1"/>
  </r>
  <r>
    <x v="4"/>
    <n v="5"/>
    <s v="Mopani"/>
    <x v="0"/>
    <x v="1"/>
    <n v="14474"/>
    <n v="37.65"/>
    <n v="385"/>
    <n v="207"/>
    <b v="1"/>
    <b v="1"/>
  </r>
  <r>
    <x v="4"/>
    <n v="5"/>
    <s v="Mopani"/>
    <x v="0"/>
    <x v="2"/>
    <n v="14005"/>
    <n v="37.65"/>
    <n v="372"/>
    <n v="207"/>
    <b v="1"/>
    <b v="1"/>
  </r>
  <r>
    <x v="4"/>
    <n v="5"/>
    <s v="Mopani"/>
    <x v="1"/>
    <x v="0"/>
    <n v="4920"/>
    <n v="37.65"/>
    <n v="131"/>
    <n v="62"/>
    <b v="1"/>
    <b v="1"/>
  </r>
  <r>
    <x v="4"/>
    <n v="5"/>
    <s v="Mopani"/>
    <x v="1"/>
    <x v="1"/>
    <n v="4627"/>
    <n v="37.65"/>
    <n v="123"/>
    <n v="62"/>
    <b v="1"/>
    <b v="1"/>
  </r>
  <r>
    <x v="4"/>
    <n v="5"/>
    <s v="Mopani"/>
    <x v="1"/>
    <x v="2"/>
    <n v="4550"/>
    <n v="37.65"/>
    <n v="121"/>
    <n v="62"/>
    <b v="1"/>
    <b v="1"/>
  </r>
  <r>
    <x v="4"/>
    <n v="5"/>
    <s v="Mopani"/>
    <x v="2"/>
    <x v="0"/>
    <n v="8668"/>
    <n v="37.65"/>
    <n v="231"/>
    <n v="101"/>
    <b v="1"/>
    <b v="1"/>
  </r>
  <r>
    <x v="4"/>
    <n v="5"/>
    <s v="Mopani"/>
    <x v="2"/>
    <x v="1"/>
    <n v="8410"/>
    <n v="37.65"/>
    <n v="224"/>
    <n v="101"/>
    <b v="1"/>
    <b v="1"/>
  </r>
  <r>
    <x v="4"/>
    <n v="5"/>
    <s v="Mopani"/>
    <x v="2"/>
    <x v="2"/>
    <n v="8280"/>
    <n v="37.65"/>
    <n v="220"/>
    <n v="101"/>
    <b v="1"/>
    <b v="1"/>
  </r>
  <r>
    <x v="4"/>
    <n v="5"/>
    <s v="Mopani"/>
    <x v="3"/>
    <x v="0"/>
    <n v="364"/>
    <n v="37.65"/>
    <n v="10"/>
    <n v="6"/>
    <b v="0"/>
    <b v="1"/>
  </r>
  <r>
    <x v="4"/>
    <n v="5"/>
    <s v="Mopani"/>
    <x v="3"/>
    <x v="1"/>
    <n v="364"/>
    <n v="37.65"/>
    <n v="10"/>
    <n v="6"/>
    <b v="0"/>
    <b v="1"/>
  </r>
  <r>
    <x v="4"/>
    <n v="5"/>
    <s v="Mopani"/>
    <x v="3"/>
    <x v="2"/>
    <n v="360"/>
    <n v="37.65"/>
    <n v="10"/>
    <n v="6"/>
    <b v="0"/>
    <b v="1"/>
  </r>
  <r>
    <x v="4"/>
    <n v="5"/>
    <s v="Mopani"/>
    <x v="4"/>
    <x v="0"/>
    <n v="528"/>
    <n v="37.65"/>
    <n v="15"/>
    <n v="5"/>
    <b v="0"/>
    <b v="1"/>
  </r>
  <r>
    <x v="4"/>
    <n v="5"/>
    <s v="Mopani"/>
    <x v="4"/>
    <x v="1"/>
    <n v="569"/>
    <n v="37.65"/>
    <n v="16"/>
    <n v="5"/>
    <b v="0"/>
    <b v="1"/>
  </r>
  <r>
    <x v="4"/>
    <n v="5"/>
    <s v="Mopani"/>
    <x v="4"/>
    <x v="2"/>
    <n v="521"/>
    <n v="37.65"/>
    <n v="14"/>
    <n v="5"/>
    <b v="0"/>
    <b v="1"/>
  </r>
  <r>
    <x v="4"/>
    <n v="5"/>
    <s v="Vhembe"/>
    <x v="0"/>
    <x v="0"/>
    <n v="3716"/>
    <n v="36.54"/>
    <n v="102"/>
    <n v="65"/>
    <b v="1"/>
    <b v="1"/>
  </r>
  <r>
    <x v="4"/>
    <n v="5"/>
    <s v="Vhembe"/>
    <x v="0"/>
    <x v="1"/>
    <n v="3591"/>
    <n v="36.54"/>
    <n v="99"/>
    <n v="65"/>
    <b v="1"/>
    <b v="1"/>
  </r>
  <r>
    <x v="4"/>
    <n v="5"/>
    <s v="Vhembe"/>
    <x v="0"/>
    <x v="2"/>
    <n v="3699"/>
    <n v="36.54"/>
    <n v="102"/>
    <n v="65"/>
    <b v="1"/>
    <b v="1"/>
  </r>
  <r>
    <x v="4"/>
    <n v="5"/>
    <s v="Vhembe"/>
    <x v="1"/>
    <x v="0"/>
    <n v="20222"/>
    <n v="36.54"/>
    <n v="554"/>
    <n v="321"/>
    <b v="1"/>
    <b v="1"/>
  </r>
  <r>
    <x v="4"/>
    <n v="5"/>
    <s v="Vhembe"/>
    <x v="1"/>
    <x v="1"/>
    <n v="19224"/>
    <n v="36.54"/>
    <n v="527"/>
    <n v="321"/>
    <b v="1"/>
    <b v="1"/>
  </r>
  <r>
    <x v="4"/>
    <n v="5"/>
    <s v="Vhembe"/>
    <x v="1"/>
    <x v="2"/>
    <n v="19600"/>
    <n v="36.54"/>
    <n v="537"/>
    <n v="321"/>
    <b v="1"/>
    <b v="1"/>
  </r>
  <r>
    <x v="4"/>
    <n v="5"/>
    <s v="Vhembe"/>
    <x v="2"/>
    <x v="0"/>
    <n v="6781"/>
    <n v="36.54"/>
    <n v="186"/>
    <n v="88"/>
    <b v="1"/>
    <b v="1"/>
  </r>
  <r>
    <x v="4"/>
    <n v="5"/>
    <s v="Vhembe"/>
    <x v="2"/>
    <x v="1"/>
    <n v="6332"/>
    <n v="36.54"/>
    <n v="174"/>
    <n v="88"/>
    <b v="1"/>
    <b v="1"/>
  </r>
  <r>
    <x v="4"/>
    <n v="5"/>
    <s v="Vhembe"/>
    <x v="2"/>
    <x v="2"/>
    <n v="6456"/>
    <n v="36.54"/>
    <n v="177"/>
    <n v="88"/>
    <b v="1"/>
    <b v="1"/>
  </r>
  <r>
    <x v="4"/>
    <n v="5"/>
    <s v="Vhembe"/>
    <x v="3"/>
    <x v="0"/>
    <n v="238"/>
    <n v="36.54"/>
    <n v="7"/>
    <n v="2"/>
    <b v="0"/>
    <b v="1"/>
  </r>
  <r>
    <x v="4"/>
    <n v="5"/>
    <s v="Vhembe"/>
    <x v="3"/>
    <x v="1"/>
    <n v="232"/>
    <n v="36.54"/>
    <n v="7"/>
    <n v="2"/>
    <b v="0"/>
    <b v="1"/>
  </r>
  <r>
    <x v="4"/>
    <n v="5"/>
    <s v="Vhembe"/>
    <x v="3"/>
    <x v="2"/>
    <n v="218"/>
    <n v="36.54"/>
    <n v="6"/>
    <n v="2"/>
    <b v="0"/>
    <b v="1"/>
  </r>
  <r>
    <x v="4"/>
    <n v="5"/>
    <s v="Vhembe"/>
    <x v="4"/>
    <x v="0"/>
    <n v="419"/>
    <n v="36.54"/>
    <n v="12"/>
    <n v="4"/>
    <b v="0"/>
    <b v="1"/>
  </r>
  <r>
    <x v="4"/>
    <n v="5"/>
    <s v="Vhembe"/>
    <x v="4"/>
    <x v="1"/>
    <n v="423"/>
    <n v="36.54"/>
    <n v="12"/>
    <n v="4"/>
    <b v="0"/>
    <b v="1"/>
  </r>
  <r>
    <x v="4"/>
    <n v="5"/>
    <s v="Vhembe"/>
    <x v="4"/>
    <x v="2"/>
    <n v="415"/>
    <n v="36.54"/>
    <n v="12"/>
    <n v="4"/>
    <b v="0"/>
    <b v="1"/>
  </r>
  <r>
    <x v="4"/>
    <n v="5"/>
    <s v="Waterberg"/>
    <x v="0"/>
    <x v="0"/>
    <n v="2489"/>
    <n v="37.39"/>
    <n v="67"/>
    <n v="36"/>
    <b v="1"/>
    <b v="1"/>
  </r>
  <r>
    <x v="4"/>
    <n v="5"/>
    <s v="Waterberg"/>
    <x v="0"/>
    <x v="1"/>
    <n v="2361"/>
    <n v="37.39"/>
    <n v="64"/>
    <n v="36"/>
    <b v="1"/>
    <b v="1"/>
  </r>
  <r>
    <x v="4"/>
    <n v="5"/>
    <s v="Waterberg"/>
    <x v="0"/>
    <x v="2"/>
    <n v="2425"/>
    <n v="37.39"/>
    <n v="65"/>
    <n v="36"/>
    <b v="1"/>
    <b v="1"/>
  </r>
  <r>
    <x v="4"/>
    <n v="5"/>
    <s v="Waterberg"/>
    <x v="1"/>
    <x v="0"/>
    <n v="8133"/>
    <n v="37.39"/>
    <n v="218"/>
    <n v="113"/>
    <b v="1"/>
    <b v="1"/>
  </r>
  <r>
    <x v="4"/>
    <n v="5"/>
    <s v="Waterberg"/>
    <x v="1"/>
    <x v="1"/>
    <n v="8016"/>
    <n v="37.39"/>
    <n v="215"/>
    <n v="113"/>
    <b v="1"/>
    <b v="1"/>
  </r>
  <r>
    <x v="4"/>
    <n v="5"/>
    <s v="Waterberg"/>
    <x v="1"/>
    <x v="2"/>
    <n v="7542"/>
    <n v="37.39"/>
    <n v="202"/>
    <n v="113"/>
    <b v="1"/>
    <b v="1"/>
  </r>
  <r>
    <x v="4"/>
    <n v="5"/>
    <s v="Waterberg"/>
    <x v="2"/>
    <x v="0"/>
    <n v="2435"/>
    <n v="37.39"/>
    <n v="66"/>
    <n v="19"/>
    <b v="1"/>
    <b v="1"/>
  </r>
  <r>
    <x v="4"/>
    <n v="5"/>
    <s v="Waterberg"/>
    <x v="2"/>
    <x v="1"/>
    <n v="2348"/>
    <n v="37.39"/>
    <n v="63"/>
    <n v="19"/>
    <b v="1"/>
    <b v="1"/>
  </r>
  <r>
    <x v="4"/>
    <n v="5"/>
    <s v="Waterberg"/>
    <x v="2"/>
    <x v="2"/>
    <n v="2238"/>
    <n v="37.39"/>
    <n v="60"/>
    <n v="19"/>
    <b v="1"/>
    <b v="1"/>
  </r>
  <r>
    <x v="4"/>
    <n v="5"/>
    <s v="Waterberg"/>
    <x v="3"/>
    <x v="0"/>
    <n v="133"/>
    <n v="37.39"/>
    <n v="4"/>
    <n v="2"/>
    <b v="0"/>
    <b v="1"/>
  </r>
  <r>
    <x v="4"/>
    <n v="5"/>
    <s v="Waterberg"/>
    <x v="3"/>
    <x v="1"/>
    <n v="138"/>
    <n v="37.39"/>
    <n v="4"/>
    <n v="2"/>
    <b v="0"/>
    <b v="1"/>
  </r>
  <r>
    <x v="4"/>
    <n v="5"/>
    <s v="Waterberg"/>
    <x v="3"/>
    <x v="2"/>
    <n v="125"/>
    <n v="37.39"/>
    <n v="4"/>
    <n v="2"/>
    <b v="0"/>
    <b v="1"/>
  </r>
  <r>
    <x v="4"/>
    <n v="5"/>
    <s v="Waterberg"/>
    <x v="4"/>
    <x v="0"/>
    <n v="1677"/>
    <n v="37.39"/>
    <n v="45"/>
    <n v="16"/>
    <b v="0"/>
    <b v="1"/>
  </r>
  <r>
    <x v="4"/>
    <n v="5"/>
    <s v="Waterberg"/>
    <x v="4"/>
    <x v="1"/>
    <n v="1701"/>
    <n v="37.39"/>
    <n v="46"/>
    <n v="16"/>
    <b v="0"/>
    <b v="1"/>
  </r>
  <r>
    <x v="4"/>
    <n v="5"/>
    <s v="Waterberg"/>
    <x v="4"/>
    <x v="2"/>
    <n v="1737"/>
    <n v="37.39"/>
    <n v="47"/>
    <n v="16"/>
    <b v="0"/>
    <b v="1"/>
  </r>
  <r>
    <x v="5"/>
    <n v="6"/>
    <s v="Bohlabela"/>
    <x v="0"/>
    <x v="0"/>
    <n v="4780"/>
    <n v="32.53"/>
    <n v="147"/>
    <n v="79"/>
    <b v="1"/>
    <b v="1"/>
  </r>
  <r>
    <x v="5"/>
    <n v="6"/>
    <s v="Bohlabela"/>
    <x v="0"/>
    <x v="1"/>
    <n v="5420"/>
    <n v="32.53"/>
    <n v="167"/>
    <n v="79"/>
    <b v="1"/>
    <b v="1"/>
  </r>
  <r>
    <x v="5"/>
    <n v="6"/>
    <s v="Bohlabela"/>
    <x v="0"/>
    <x v="2"/>
    <n v="5584"/>
    <n v="32.53"/>
    <n v="172"/>
    <n v="79"/>
    <b v="1"/>
    <b v="1"/>
  </r>
  <r>
    <x v="5"/>
    <n v="6"/>
    <s v="Bohlabela"/>
    <x v="1"/>
    <x v="0"/>
    <n v="5484"/>
    <n v="32.53"/>
    <n v="169"/>
    <n v="81"/>
    <b v="1"/>
    <b v="1"/>
  </r>
  <r>
    <x v="5"/>
    <n v="6"/>
    <s v="Bohlabela"/>
    <x v="1"/>
    <x v="1"/>
    <n v="6072"/>
    <n v="32.53"/>
    <n v="187"/>
    <n v="81"/>
    <b v="1"/>
    <b v="1"/>
  </r>
  <r>
    <x v="5"/>
    <n v="6"/>
    <s v="Bohlabela"/>
    <x v="1"/>
    <x v="2"/>
    <n v="6048"/>
    <n v="32.53"/>
    <n v="186"/>
    <n v="81"/>
    <b v="1"/>
    <b v="1"/>
  </r>
  <r>
    <x v="5"/>
    <n v="6"/>
    <s v="Bohlabela"/>
    <x v="2"/>
    <x v="0"/>
    <n v="4195"/>
    <n v="32.53"/>
    <n v="129"/>
    <n v="66"/>
    <b v="1"/>
    <b v="1"/>
  </r>
  <r>
    <x v="5"/>
    <n v="6"/>
    <s v="Bohlabela"/>
    <x v="2"/>
    <x v="1"/>
    <n v="4941"/>
    <n v="32.53"/>
    <n v="152"/>
    <n v="66"/>
    <b v="1"/>
    <b v="1"/>
  </r>
  <r>
    <x v="5"/>
    <n v="6"/>
    <s v="Bohlabela"/>
    <x v="2"/>
    <x v="2"/>
    <n v="4862"/>
    <n v="32.53"/>
    <n v="150"/>
    <n v="66"/>
    <b v="1"/>
    <b v="1"/>
  </r>
  <r>
    <x v="5"/>
    <n v="6"/>
    <s v="Bohlabela"/>
    <x v="3"/>
    <x v="0"/>
    <n v="534"/>
    <n v="32.53"/>
    <n v="17"/>
    <n v="4"/>
    <b v="0"/>
    <b v="1"/>
  </r>
  <r>
    <x v="5"/>
    <n v="6"/>
    <s v="Bohlabela"/>
    <x v="3"/>
    <x v="1"/>
    <n v="545"/>
    <n v="32.53"/>
    <n v="17"/>
    <n v="4"/>
    <b v="0"/>
    <b v="1"/>
  </r>
  <r>
    <x v="5"/>
    <n v="6"/>
    <s v="Bohlabela"/>
    <x v="3"/>
    <x v="2"/>
    <n v="522"/>
    <n v="32.53"/>
    <n v="17"/>
    <n v="4"/>
    <b v="0"/>
    <b v="1"/>
  </r>
  <r>
    <x v="5"/>
    <n v="6"/>
    <s v="Bohlabela"/>
    <x v="4"/>
    <x v="0"/>
    <n v="324"/>
    <n v="32.53"/>
    <n v="10"/>
    <n v="3"/>
    <b v="0"/>
    <b v="1"/>
  </r>
  <r>
    <x v="5"/>
    <n v="6"/>
    <s v="Bohlabela"/>
    <x v="4"/>
    <x v="1"/>
    <n v="268"/>
    <n v="32.53"/>
    <n v="9"/>
    <n v="3"/>
    <b v="0"/>
    <b v="1"/>
  </r>
  <r>
    <x v="5"/>
    <n v="6"/>
    <s v="Bohlabela"/>
    <x v="4"/>
    <x v="2"/>
    <n v="294"/>
    <n v="32.53"/>
    <n v="10"/>
    <n v="3"/>
    <b v="0"/>
    <b v="1"/>
  </r>
  <r>
    <x v="5"/>
    <n v="6"/>
    <s v="Ehlanzeni"/>
    <x v="0"/>
    <x v="0"/>
    <n v="5055"/>
    <n v="33.01"/>
    <n v="154"/>
    <n v="53"/>
    <b v="1"/>
    <b v="1"/>
  </r>
  <r>
    <x v="5"/>
    <n v="6"/>
    <s v="Ehlanzeni"/>
    <x v="0"/>
    <x v="1"/>
    <n v="4877"/>
    <n v="33.01"/>
    <n v="148"/>
    <n v="53"/>
    <b v="1"/>
    <b v="1"/>
  </r>
  <r>
    <x v="5"/>
    <n v="6"/>
    <s v="Ehlanzeni"/>
    <x v="0"/>
    <x v="2"/>
    <n v="4982"/>
    <n v="33.01"/>
    <n v="151"/>
    <n v="53"/>
    <b v="1"/>
    <b v="1"/>
  </r>
  <r>
    <x v="5"/>
    <n v="6"/>
    <s v="Ehlanzeni"/>
    <x v="1"/>
    <x v="0"/>
    <n v="8486"/>
    <n v="33.01"/>
    <n v="258"/>
    <n v="78"/>
    <b v="1"/>
    <b v="1"/>
  </r>
  <r>
    <x v="5"/>
    <n v="6"/>
    <s v="Ehlanzeni"/>
    <x v="1"/>
    <x v="1"/>
    <n v="8599"/>
    <n v="33.01"/>
    <n v="261"/>
    <n v="78"/>
    <b v="1"/>
    <b v="1"/>
  </r>
  <r>
    <x v="5"/>
    <n v="6"/>
    <s v="Ehlanzeni"/>
    <x v="1"/>
    <x v="2"/>
    <n v="8515"/>
    <n v="33.01"/>
    <n v="258"/>
    <n v="78"/>
    <b v="1"/>
    <b v="1"/>
  </r>
  <r>
    <x v="5"/>
    <n v="6"/>
    <s v="Ehlanzeni"/>
    <x v="2"/>
    <x v="0"/>
    <n v="6514"/>
    <n v="33.01"/>
    <n v="198"/>
    <n v="49"/>
    <b v="1"/>
    <b v="1"/>
  </r>
  <r>
    <x v="5"/>
    <n v="6"/>
    <s v="Ehlanzeni"/>
    <x v="2"/>
    <x v="1"/>
    <n v="6191"/>
    <n v="33.01"/>
    <n v="188"/>
    <n v="49"/>
    <b v="1"/>
    <b v="1"/>
  </r>
  <r>
    <x v="5"/>
    <n v="6"/>
    <s v="Ehlanzeni"/>
    <x v="2"/>
    <x v="2"/>
    <n v="6211"/>
    <n v="33.01"/>
    <n v="189"/>
    <n v="49"/>
    <b v="1"/>
    <b v="1"/>
  </r>
  <r>
    <x v="5"/>
    <n v="6"/>
    <s v="Ehlanzeni"/>
    <x v="3"/>
    <x v="0"/>
    <n v="4242"/>
    <n v="33.01"/>
    <n v="129"/>
    <n v="36"/>
    <b v="0"/>
    <b v="1"/>
  </r>
  <r>
    <x v="5"/>
    <n v="6"/>
    <s v="Ehlanzeni"/>
    <x v="3"/>
    <x v="1"/>
    <n v="4028"/>
    <n v="33.01"/>
    <n v="123"/>
    <n v="36"/>
    <b v="0"/>
    <b v="1"/>
  </r>
  <r>
    <x v="5"/>
    <n v="6"/>
    <s v="Ehlanzeni"/>
    <x v="3"/>
    <x v="2"/>
    <n v="4020"/>
    <n v="33.01"/>
    <n v="122"/>
    <n v="36"/>
    <b v="0"/>
    <b v="1"/>
  </r>
  <r>
    <x v="5"/>
    <n v="6"/>
    <s v="Ehlanzeni"/>
    <x v="4"/>
    <x v="0"/>
    <n v="1911"/>
    <n v="33.01"/>
    <n v="58"/>
    <n v="21"/>
    <b v="0"/>
    <b v="1"/>
  </r>
  <r>
    <x v="5"/>
    <n v="6"/>
    <s v="Ehlanzeni"/>
    <x v="4"/>
    <x v="1"/>
    <n v="1698"/>
    <n v="33.01"/>
    <n v="52"/>
    <n v="21"/>
    <b v="0"/>
    <b v="1"/>
  </r>
  <r>
    <x v="5"/>
    <n v="6"/>
    <s v="Ehlanzeni"/>
    <x v="4"/>
    <x v="2"/>
    <n v="1716"/>
    <n v="33.01"/>
    <n v="52"/>
    <n v="21"/>
    <b v="0"/>
    <b v="1"/>
  </r>
  <r>
    <x v="5"/>
    <n v="6"/>
    <s v="Gert Sibande"/>
    <x v="0"/>
    <x v="0"/>
    <n v="8003"/>
    <n v="32.04"/>
    <n v="250"/>
    <n v="118"/>
    <b v="1"/>
    <b v="1"/>
  </r>
  <r>
    <x v="5"/>
    <n v="6"/>
    <s v="Gert Sibande"/>
    <x v="0"/>
    <x v="1"/>
    <n v="7488"/>
    <n v="32.04"/>
    <n v="234"/>
    <n v="118"/>
    <b v="1"/>
    <b v="1"/>
  </r>
  <r>
    <x v="5"/>
    <n v="6"/>
    <s v="Gert Sibande"/>
    <x v="0"/>
    <x v="2"/>
    <n v="7533"/>
    <n v="32.04"/>
    <n v="236"/>
    <n v="118"/>
    <b v="1"/>
    <b v="1"/>
  </r>
  <r>
    <x v="5"/>
    <n v="6"/>
    <s v="Gert Sibande"/>
    <x v="1"/>
    <x v="0"/>
    <n v="4024"/>
    <n v="32.04"/>
    <n v="126"/>
    <n v="39"/>
    <b v="1"/>
    <b v="1"/>
  </r>
  <r>
    <x v="5"/>
    <n v="6"/>
    <s v="Gert Sibande"/>
    <x v="1"/>
    <x v="1"/>
    <n v="3491"/>
    <n v="32.04"/>
    <n v="109"/>
    <n v="39"/>
    <b v="1"/>
    <b v="1"/>
  </r>
  <r>
    <x v="5"/>
    <n v="6"/>
    <s v="Gert Sibande"/>
    <x v="1"/>
    <x v="2"/>
    <n v="3599"/>
    <n v="32.04"/>
    <n v="113"/>
    <n v="39"/>
    <b v="1"/>
    <b v="1"/>
  </r>
  <r>
    <x v="5"/>
    <n v="6"/>
    <s v="Gert Sibande"/>
    <x v="2"/>
    <x v="0"/>
    <n v="1220"/>
    <n v="32.04"/>
    <n v="39"/>
    <n v="11"/>
    <b v="1"/>
    <b v="1"/>
  </r>
  <r>
    <x v="5"/>
    <n v="6"/>
    <s v="Gert Sibande"/>
    <x v="2"/>
    <x v="1"/>
    <n v="1236"/>
    <n v="32.04"/>
    <n v="39"/>
    <n v="11"/>
    <b v="1"/>
    <b v="1"/>
  </r>
  <r>
    <x v="5"/>
    <n v="6"/>
    <s v="Gert Sibande"/>
    <x v="2"/>
    <x v="2"/>
    <n v="1160"/>
    <n v="32.04"/>
    <n v="37"/>
    <n v="11"/>
    <b v="1"/>
    <b v="1"/>
  </r>
  <r>
    <x v="5"/>
    <n v="6"/>
    <s v="Gert Sibande"/>
    <x v="3"/>
    <x v="0"/>
    <n v="6657"/>
    <n v="32.04"/>
    <n v="208"/>
    <n v="45"/>
    <b v="0"/>
    <b v="1"/>
  </r>
  <r>
    <x v="5"/>
    <n v="6"/>
    <s v="Gert Sibande"/>
    <x v="3"/>
    <x v="1"/>
    <n v="6143"/>
    <n v="32.04"/>
    <n v="192"/>
    <n v="45"/>
    <b v="0"/>
    <b v="1"/>
  </r>
  <r>
    <x v="5"/>
    <n v="6"/>
    <s v="Gert Sibande"/>
    <x v="3"/>
    <x v="2"/>
    <n v="5720"/>
    <n v="32.04"/>
    <n v="179"/>
    <n v="45"/>
    <b v="0"/>
    <b v="1"/>
  </r>
  <r>
    <x v="5"/>
    <n v="6"/>
    <s v="Gert Sibande"/>
    <x v="4"/>
    <x v="0"/>
    <n v="3244"/>
    <n v="32.04"/>
    <n v="102"/>
    <n v="35"/>
    <b v="0"/>
    <b v="1"/>
  </r>
  <r>
    <x v="5"/>
    <n v="6"/>
    <s v="Gert Sibande"/>
    <x v="4"/>
    <x v="1"/>
    <n v="2910"/>
    <n v="32.04"/>
    <n v="91"/>
    <n v="35"/>
    <b v="0"/>
    <b v="1"/>
  </r>
  <r>
    <x v="5"/>
    <n v="6"/>
    <s v="Gert Sibande"/>
    <x v="4"/>
    <x v="2"/>
    <n v="2883"/>
    <n v="32.04"/>
    <n v="90"/>
    <n v="35"/>
    <b v="0"/>
    <b v="1"/>
  </r>
  <r>
    <x v="5"/>
    <n v="6"/>
    <s v="Nkangala"/>
    <x v="0"/>
    <x v="0"/>
    <n v="2319"/>
    <n v="31.15"/>
    <n v="75"/>
    <n v="34"/>
    <b v="1"/>
    <b v="1"/>
  </r>
  <r>
    <x v="5"/>
    <n v="6"/>
    <s v="Nkangala"/>
    <x v="0"/>
    <x v="1"/>
    <n v="2579"/>
    <n v="31.15"/>
    <n v="83"/>
    <n v="34"/>
    <b v="1"/>
    <b v="1"/>
  </r>
  <r>
    <x v="5"/>
    <n v="6"/>
    <s v="Nkangala"/>
    <x v="0"/>
    <x v="2"/>
    <n v="2512"/>
    <n v="31.15"/>
    <n v="81"/>
    <n v="34"/>
    <b v="1"/>
    <b v="1"/>
  </r>
  <r>
    <x v="5"/>
    <n v="6"/>
    <s v="Nkangala"/>
    <x v="1"/>
    <x v="0"/>
    <n v="8081"/>
    <n v="31.15"/>
    <n v="260"/>
    <n v="86"/>
    <b v="1"/>
    <b v="1"/>
  </r>
  <r>
    <x v="5"/>
    <n v="6"/>
    <s v="Nkangala"/>
    <x v="1"/>
    <x v="1"/>
    <n v="8003"/>
    <n v="31.15"/>
    <n v="257"/>
    <n v="86"/>
    <b v="1"/>
    <b v="1"/>
  </r>
  <r>
    <x v="5"/>
    <n v="6"/>
    <s v="Nkangala"/>
    <x v="1"/>
    <x v="2"/>
    <n v="7801"/>
    <n v="31.15"/>
    <n v="251"/>
    <n v="86"/>
    <b v="1"/>
    <b v="1"/>
  </r>
  <r>
    <x v="5"/>
    <n v="6"/>
    <s v="Nkangala"/>
    <x v="2"/>
    <x v="0"/>
    <n v="6551"/>
    <n v="31.15"/>
    <n v="211"/>
    <n v="80"/>
    <b v="1"/>
    <b v="1"/>
  </r>
  <r>
    <x v="5"/>
    <n v="6"/>
    <s v="Nkangala"/>
    <x v="2"/>
    <x v="1"/>
    <n v="6182"/>
    <n v="31.15"/>
    <n v="199"/>
    <n v="80"/>
    <b v="1"/>
    <b v="1"/>
  </r>
  <r>
    <x v="5"/>
    <n v="6"/>
    <s v="Nkangala"/>
    <x v="2"/>
    <x v="2"/>
    <n v="6187"/>
    <n v="31.15"/>
    <n v="199"/>
    <n v="80"/>
    <b v="1"/>
    <b v="1"/>
  </r>
  <r>
    <x v="5"/>
    <n v="6"/>
    <s v="Nkangala"/>
    <x v="3"/>
    <x v="0"/>
    <n v="4112"/>
    <n v="31.15"/>
    <n v="133"/>
    <n v="41"/>
    <b v="0"/>
    <b v="1"/>
  </r>
  <r>
    <x v="5"/>
    <n v="6"/>
    <s v="Nkangala"/>
    <x v="3"/>
    <x v="1"/>
    <n v="4010"/>
    <n v="31.15"/>
    <n v="129"/>
    <n v="41"/>
    <b v="0"/>
    <b v="1"/>
  </r>
  <r>
    <x v="5"/>
    <n v="6"/>
    <s v="Nkangala"/>
    <x v="3"/>
    <x v="2"/>
    <n v="3893"/>
    <n v="31.15"/>
    <n v="125"/>
    <n v="41"/>
    <b v="0"/>
    <b v="1"/>
  </r>
  <r>
    <x v="5"/>
    <n v="6"/>
    <s v="Nkangala"/>
    <x v="4"/>
    <x v="0"/>
    <n v="4974"/>
    <n v="31.15"/>
    <n v="160"/>
    <n v="46"/>
    <b v="0"/>
    <b v="1"/>
  </r>
  <r>
    <x v="5"/>
    <n v="6"/>
    <s v="Nkangala"/>
    <x v="4"/>
    <x v="1"/>
    <n v="4953"/>
    <n v="31.15"/>
    <n v="160"/>
    <n v="46"/>
    <b v="0"/>
    <b v="1"/>
  </r>
  <r>
    <x v="5"/>
    <n v="6"/>
    <s v="Nkangala"/>
    <x v="4"/>
    <x v="2"/>
    <n v="4607"/>
    <n v="31.15"/>
    <n v="148"/>
    <n v="46"/>
    <b v="0"/>
    <b v="1"/>
  </r>
  <r>
    <x v="6"/>
    <n v="7"/>
    <s v="Bojanala"/>
    <x v="0"/>
    <x v="0"/>
    <n v="5821"/>
    <n v="34.04"/>
    <n v="172"/>
    <n v="76"/>
    <b v="1"/>
    <b v="1"/>
  </r>
  <r>
    <x v="6"/>
    <n v="7"/>
    <s v="Bojanala"/>
    <x v="0"/>
    <x v="1"/>
    <n v="6065"/>
    <n v="34.04"/>
    <n v="179"/>
    <n v="76"/>
    <b v="1"/>
    <b v="1"/>
  </r>
  <r>
    <x v="6"/>
    <n v="7"/>
    <s v="Bojanala"/>
    <x v="0"/>
    <x v="2"/>
    <n v="5597"/>
    <n v="34.04"/>
    <n v="165"/>
    <n v="76"/>
    <b v="1"/>
    <b v="1"/>
  </r>
  <r>
    <x v="6"/>
    <n v="7"/>
    <s v="Bojanala"/>
    <x v="1"/>
    <x v="0"/>
    <n v="2928"/>
    <n v="34.04"/>
    <n v="87"/>
    <n v="40"/>
    <b v="1"/>
    <b v="1"/>
  </r>
  <r>
    <x v="6"/>
    <n v="7"/>
    <s v="Bojanala"/>
    <x v="1"/>
    <x v="1"/>
    <n v="2985"/>
    <n v="34.04"/>
    <n v="88"/>
    <n v="40"/>
    <b v="1"/>
    <b v="1"/>
  </r>
  <r>
    <x v="6"/>
    <n v="7"/>
    <s v="Bojanala"/>
    <x v="1"/>
    <x v="2"/>
    <n v="3050"/>
    <n v="34.04"/>
    <n v="90"/>
    <n v="40"/>
    <b v="1"/>
    <b v="1"/>
  </r>
  <r>
    <x v="6"/>
    <n v="7"/>
    <s v="Bojanala"/>
    <x v="2"/>
    <x v="0"/>
    <n v="14644"/>
    <n v="34.04"/>
    <n v="431"/>
    <n v="161"/>
    <b v="1"/>
    <b v="1"/>
  </r>
  <r>
    <x v="6"/>
    <n v="7"/>
    <s v="Bojanala"/>
    <x v="2"/>
    <x v="1"/>
    <n v="14942"/>
    <n v="34.04"/>
    <n v="439"/>
    <n v="161"/>
    <b v="1"/>
    <b v="1"/>
  </r>
  <r>
    <x v="6"/>
    <n v="7"/>
    <s v="Bojanala"/>
    <x v="2"/>
    <x v="2"/>
    <n v="14995"/>
    <n v="34.04"/>
    <n v="441"/>
    <n v="161"/>
    <b v="1"/>
    <b v="1"/>
  </r>
  <r>
    <x v="6"/>
    <n v="7"/>
    <s v="Bojanala"/>
    <x v="3"/>
    <x v="0"/>
    <n v="2285"/>
    <n v="34.04"/>
    <n v="68"/>
    <n v="19"/>
    <b v="0"/>
    <b v="1"/>
  </r>
  <r>
    <x v="6"/>
    <n v="7"/>
    <s v="Bojanala"/>
    <x v="3"/>
    <x v="1"/>
    <n v="2305"/>
    <n v="34.04"/>
    <n v="68"/>
    <n v="19"/>
    <b v="0"/>
    <b v="1"/>
  </r>
  <r>
    <x v="6"/>
    <n v="7"/>
    <s v="Bojanala"/>
    <x v="3"/>
    <x v="2"/>
    <n v="2318"/>
    <n v="34.04"/>
    <n v="69"/>
    <n v="19"/>
    <b v="0"/>
    <b v="1"/>
  </r>
  <r>
    <x v="6"/>
    <n v="7"/>
    <s v="Bojanala"/>
    <x v="4"/>
    <x v="0"/>
    <n v="331"/>
    <n v="34.04"/>
    <n v="10"/>
    <n v="2"/>
    <b v="0"/>
    <b v="1"/>
  </r>
  <r>
    <x v="6"/>
    <n v="7"/>
    <s v="Bojanala"/>
    <x v="4"/>
    <x v="1"/>
    <n v="371"/>
    <n v="34.04"/>
    <n v="11"/>
    <n v="2"/>
    <b v="0"/>
    <b v="1"/>
  </r>
  <r>
    <x v="6"/>
    <n v="7"/>
    <s v="Bojanala"/>
    <x v="4"/>
    <x v="2"/>
    <n v="369"/>
    <n v="34.04"/>
    <n v="11"/>
    <n v="2"/>
    <b v="0"/>
    <b v="1"/>
  </r>
  <r>
    <x v="6"/>
    <n v="7"/>
    <s v="Dr Kenneth Kaunda"/>
    <x v="0"/>
    <x v="0"/>
    <n v="1795"/>
    <n v="32.74"/>
    <n v="55"/>
    <n v="22"/>
    <b v="1"/>
    <b v="1"/>
  </r>
  <r>
    <x v="6"/>
    <n v="7"/>
    <s v="Dr Kenneth Kaunda"/>
    <x v="0"/>
    <x v="1"/>
    <n v="1811"/>
    <n v="32.74"/>
    <n v="56"/>
    <n v="22"/>
    <b v="1"/>
    <b v="1"/>
  </r>
  <r>
    <x v="6"/>
    <n v="7"/>
    <s v="Dr Kenneth Kaunda"/>
    <x v="0"/>
    <x v="2"/>
    <n v="1785"/>
    <n v="32.74"/>
    <n v="55"/>
    <n v="22"/>
    <b v="1"/>
    <b v="1"/>
  </r>
  <r>
    <x v="6"/>
    <n v="7"/>
    <s v="Dr Kenneth Kaunda"/>
    <x v="1"/>
    <x v="0"/>
    <n v="2077"/>
    <n v="32.74"/>
    <n v="64"/>
    <n v="14"/>
    <b v="1"/>
    <b v="1"/>
  </r>
  <r>
    <x v="6"/>
    <n v="7"/>
    <s v="Dr Kenneth Kaunda"/>
    <x v="1"/>
    <x v="1"/>
    <n v="2007"/>
    <n v="32.74"/>
    <n v="62"/>
    <n v="14"/>
    <b v="1"/>
    <b v="1"/>
  </r>
  <r>
    <x v="6"/>
    <n v="7"/>
    <s v="Dr Kenneth Kaunda"/>
    <x v="1"/>
    <x v="2"/>
    <n v="2051"/>
    <n v="32.74"/>
    <n v="63"/>
    <n v="14"/>
    <b v="1"/>
    <b v="1"/>
  </r>
  <r>
    <x v="6"/>
    <n v="7"/>
    <s v="Dr Kenneth Kaunda"/>
    <x v="2"/>
    <x v="0"/>
    <n v="7224"/>
    <n v="32.74"/>
    <n v="221"/>
    <n v="55"/>
    <b v="1"/>
    <b v="1"/>
  </r>
  <r>
    <x v="6"/>
    <n v="7"/>
    <s v="Dr Kenneth Kaunda"/>
    <x v="2"/>
    <x v="1"/>
    <n v="7154"/>
    <n v="32.74"/>
    <n v="219"/>
    <n v="55"/>
    <b v="1"/>
    <b v="1"/>
  </r>
  <r>
    <x v="6"/>
    <n v="7"/>
    <s v="Dr Kenneth Kaunda"/>
    <x v="2"/>
    <x v="2"/>
    <n v="7279"/>
    <n v="32.74"/>
    <n v="223"/>
    <n v="55"/>
    <b v="1"/>
    <b v="1"/>
  </r>
  <r>
    <x v="6"/>
    <n v="7"/>
    <s v="Dr Kenneth Kaunda"/>
    <x v="3"/>
    <x v="0"/>
    <n v="2146"/>
    <n v="32.74"/>
    <n v="66"/>
    <n v="21"/>
    <b v="0"/>
    <b v="1"/>
  </r>
  <r>
    <x v="6"/>
    <n v="7"/>
    <s v="Dr Kenneth Kaunda"/>
    <x v="3"/>
    <x v="1"/>
    <n v="2055"/>
    <n v="32.74"/>
    <n v="63"/>
    <n v="21"/>
    <b v="0"/>
    <b v="1"/>
  </r>
  <r>
    <x v="6"/>
    <n v="7"/>
    <s v="Dr Kenneth Kaunda"/>
    <x v="3"/>
    <x v="2"/>
    <n v="1995"/>
    <n v="32.74"/>
    <n v="61"/>
    <n v="21"/>
    <b v="0"/>
    <b v="1"/>
  </r>
  <r>
    <x v="6"/>
    <n v="7"/>
    <s v="Dr Kenneth Kaunda"/>
    <x v="4"/>
    <x v="0"/>
    <n v="285"/>
    <n v="32.74"/>
    <n v="9"/>
    <n v="3"/>
    <b v="0"/>
    <b v="1"/>
  </r>
  <r>
    <x v="6"/>
    <n v="7"/>
    <s v="Dr Kenneth Kaunda"/>
    <x v="4"/>
    <x v="1"/>
    <n v="260"/>
    <n v="32.74"/>
    <n v="8"/>
    <n v="3"/>
    <b v="0"/>
    <b v="1"/>
  </r>
  <r>
    <x v="6"/>
    <n v="7"/>
    <s v="Dr Kenneth Kaunda"/>
    <x v="4"/>
    <x v="2"/>
    <n v="249"/>
    <n v="32.74"/>
    <n v="8"/>
    <n v="3"/>
    <b v="0"/>
    <b v="1"/>
  </r>
  <r>
    <x v="6"/>
    <n v="7"/>
    <s v="Dr Ruth S Mompati"/>
    <x v="0"/>
    <x v="0"/>
    <n v="4044"/>
    <n v="33.08"/>
    <n v="123"/>
    <n v="58"/>
    <b v="1"/>
    <b v="1"/>
  </r>
  <r>
    <x v="6"/>
    <n v="7"/>
    <s v="Dr Ruth S Mompati"/>
    <x v="0"/>
    <x v="1"/>
    <n v="4036"/>
    <n v="33.08"/>
    <n v="123"/>
    <n v="58"/>
    <b v="1"/>
    <b v="1"/>
  </r>
  <r>
    <x v="6"/>
    <n v="7"/>
    <s v="Dr Ruth S Mompati"/>
    <x v="0"/>
    <x v="2"/>
    <n v="4086"/>
    <n v="33.08"/>
    <n v="124"/>
    <n v="58"/>
    <b v="1"/>
    <b v="1"/>
  </r>
  <r>
    <x v="6"/>
    <n v="7"/>
    <s v="Dr Ruth S Mompati"/>
    <x v="1"/>
    <x v="0"/>
    <n v="3413"/>
    <n v="33.08"/>
    <n v="104"/>
    <n v="39"/>
    <b v="1"/>
    <b v="1"/>
  </r>
  <r>
    <x v="6"/>
    <n v="7"/>
    <s v="Dr Ruth S Mompati"/>
    <x v="1"/>
    <x v="1"/>
    <n v="3395"/>
    <n v="33.08"/>
    <n v="103"/>
    <n v="39"/>
    <b v="1"/>
    <b v="1"/>
  </r>
  <r>
    <x v="6"/>
    <n v="7"/>
    <s v="Dr Ruth S Mompati"/>
    <x v="1"/>
    <x v="2"/>
    <n v="3210"/>
    <n v="33.08"/>
    <n v="98"/>
    <n v="39"/>
    <b v="1"/>
    <b v="1"/>
  </r>
  <r>
    <x v="6"/>
    <n v="7"/>
    <s v="Dr Ruth S Mompati"/>
    <x v="2"/>
    <x v="0"/>
    <n v="3343"/>
    <n v="33.08"/>
    <n v="102"/>
    <n v="34"/>
    <b v="1"/>
    <b v="1"/>
  </r>
  <r>
    <x v="6"/>
    <n v="7"/>
    <s v="Dr Ruth S Mompati"/>
    <x v="2"/>
    <x v="1"/>
    <n v="3423"/>
    <n v="33.08"/>
    <n v="104"/>
    <n v="34"/>
    <b v="1"/>
    <b v="1"/>
  </r>
  <r>
    <x v="6"/>
    <n v="7"/>
    <s v="Dr Ruth S Mompati"/>
    <x v="2"/>
    <x v="2"/>
    <n v="3221"/>
    <n v="33.08"/>
    <n v="98"/>
    <n v="34"/>
    <b v="1"/>
    <b v="1"/>
  </r>
  <r>
    <x v="6"/>
    <n v="7"/>
    <s v="Dr Ruth S Mompati"/>
    <x v="3"/>
    <x v="0"/>
    <n v="269"/>
    <n v="33.08"/>
    <n v="9"/>
    <n v="4"/>
    <b v="0"/>
    <b v="1"/>
  </r>
  <r>
    <x v="6"/>
    <n v="7"/>
    <s v="Dr Ruth S Mompati"/>
    <x v="3"/>
    <x v="1"/>
    <n v="232"/>
    <n v="33.08"/>
    <n v="8"/>
    <n v="4"/>
    <b v="0"/>
    <b v="1"/>
  </r>
  <r>
    <x v="6"/>
    <n v="7"/>
    <s v="Dr Ruth S Mompati"/>
    <x v="3"/>
    <x v="2"/>
    <n v="288"/>
    <n v="33.08"/>
    <n v="9"/>
    <n v="4"/>
    <b v="0"/>
    <b v="1"/>
  </r>
  <r>
    <x v="6"/>
    <n v="7"/>
    <s v="Ngaka Modiri Molema"/>
    <x v="0"/>
    <x v="0"/>
    <n v="8531"/>
    <n v="33.479999999999997"/>
    <n v="255"/>
    <n v="105"/>
    <b v="1"/>
    <b v="1"/>
  </r>
  <r>
    <x v="6"/>
    <n v="7"/>
    <s v="Ngaka Modiri Molema"/>
    <x v="0"/>
    <x v="1"/>
    <n v="8260"/>
    <n v="33.479999999999997"/>
    <n v="247"/>
    <n v="105"/>
    <b v="1"/>
    <b v="1"/>
  </r>
  <r>
    <x v="6"/>
    <n v="7"/>
    <s v="Ngaka Modiri Molema"/>
    <x v="0"/>
    <x v="2"/>
    <n v="8277"/>
    <n v="33.479999999999997"/>
    <n v="248"/>
    <n v="105"/>
    <b v="1"/>
    <b v="1"/>
  </r>
  <r>
    <x v="6"/>
    <n v="7"/>
    <s v="Ngaka Modiri Molema"/>
    <x v="1"/>
    <x v="0"/>
    <n v="5582"/>
    <n v="33.479999999999997"/>
    <n v="167"/>
    <n v="85"/>
    <b v="1"/>
    <b v="1"/>
  </r>
  <r>
    <x v="6"/>
    <n v="7"/>
    <s v="Ngaka Modiri Molema"/>
    <x v="1"/>
    <x v="1"/>
    <n v="5708"/>
    <n v="33.479999999999997"/>
    <n v="171"/>
    <n v="85"/>
    <b v="1"/>
    <b v="1"/>
  </r>
  <r>
    <x v="6"/>
    <n v="7"/>
    <s v="Ngaka Modiri Molema"/>
    <x v="1"/>
    <x v="2"/>
    <n v="5323"/>
    <n v="33.479999999999997"/>
    <n v="159"/>
    <n v="85"/>
    <b v="1"/>
    <b v="1"/>
  </r>
  <r>
    <x v="6"/>
    <n v="7"/>
    <s v="Ngaka Modiri Molema"/>
    <x v="2"/>
    <x v="0"/>
    <n v="3074"/>
    <n v="33.479999999999997"/>
    <n v="92"/>
    <n v="39"/>
    <b v="1"/>
    <b v="1"/>
  </r>
  <r>
    <x v="6"/>
    <n v="7"/>
    <s v="Ngaka Modiri Molema"/>
    <x v="2"/>
    <x v="1"/>
    <n v="2930"/>
    <n v="33.479999999999997"/>
    <n v="88"/>
    <n v="39"/>
    <b v="1"/>
    <b v="1"/>
  </r>
  <r>
    <x v="6"/>
    <n v="7"/>
    <s v="Ngaka Modiri Molema"/>
    <x v="2"/>
    <x v="2"/>
    <n v="3034"/>
    <n v="33.479999999999997"/>
    <n v="91"/>
    <n v="39"/>
    <b v="1"/>
    <b v="1"/>
  </r>
  <r>
    <x v="6"/>
    <n v="7"/>
    <s v="Ngaka Modiri Molema"/>
    <x v="3"/>
    <x v="0"/>
    <n v="1313"/>
    <n v="33.479999999999997"/>
    <n v="40"/>
    <n v="18"/>
    <b v="0"/>
    <b v="1"/>
  </r>
  <r>
    <x v="6"/>
    <n v="7"/>
    <s v="Ngaka Modiri Molema"/>
    <x v="3"/>
    <x v="1"/>
    <n v="1241"/>
    <n v="33.479999999999997"/>
    <n v="38"/>
    <n v="18"/>
    <b v="0"/>
    <b v="1"/>
  </r>
  <r>
    <x v="6"/>
    <n v="7"/>
    <s v="Ngaka Modiri Molema"/>
    <x v="3"/>
    <x v="2"/>
    <n v="1272"/>
    <n v="33.479999999999997"/>
    <n v="38"/>
    <n v="18"/>
    <b v="0"/>
    <b v="1"/>
  </r>
  <r>
    <x v="6"/>
    <n v="7"/>
    <s v="Ngaka Modiri Molema"/>
    <x v="4"/>
    <x v="0"/>
    <n v="144"/>
    <n v="33.479999999999997"/>
    <n v="5"/>
    <n v="2"/>
    <b v="0"/>
    <b v="1"/>
  </r>
  <r>
    <x v="6"/>
    <n v="7"/>
    <s v="Ngaka Modiri Molema"/>
    <x v="4"/>
    <x v="1"/>
    <n v="122"/>
    <n v="33.479999999999997"/>
    <n v="4"/>
    <n v="2"/>
    <b v="0"/>
    <b v="1"/>
  </r>
  <r>
    <x v="6"/>
    <n v="7"/>
    <s v="Ngaka Modiri Molema"/>
    <x v="4"/>
    <x v="2"/>
    <n v="120"/>
    <n v="33.479999999999997"/>
    <n v="4"/>
    <n v="2"/>
    <b v="0"/>
    <b v="1"/>
  </r>
  <r>
    <x v="7"/>
    <n v="8"/>
    <s v="Frances Baard"/>
    <x v="0"/>
    <x v="0"/>
    <n v="1344"/>
    <n v="31.1"/>
    <n v="44"/>
    <n v="7"/>
    <b v="1"/>
    <b v="1"/>
  </r>
  <r>
    <x v="7"/>
    <n v="8"/>
    <s v="Frances Baard"/>
    <x v="0"/>
    <x v="1"/>
    <n v="1111"/>
    <n v="31.1"/>
    <n v="36"/>
    <n v="7"/>
    <b v="1"/>
    <b v="1"/>
  </r>
  <r>
    <x v="7"/>
    <n v="8"/>
    <s v="Frances Baard"/>
    <x v="0"/>
    <x v="2"/>
    <n v="1110"/>
    <n v="31.1"/>
    <n v="36"/>
    <n v="7"/>
    <b v="1"/>
    <b v="1"/>
  </r>
  <r>
    <x v="7"/>
    <n v="8"/>
    <s v="Frances Baard"/>
    <x v="1"/>
    <x v="0"/>
    <n v="1781"/>
    <n v="31.1"/>
    <n v="58"/>
    <n v="16"/>
    <b v="1"/>
    <b v="1"/>
  </r>
  <r>
    <x v="7"/>
    <n v="8"/>
    <s v="Frances Baard"/>
    <x v="1"/>
    <x v="1"/>
    <n v="1822"/>
    <n v="31.1"/>
    <n v="59"/>
    <n v="16"/>
    <b v="1"/>
    <b v="1"/>
  </r>
  <r>
    <x v="7"/>
    <n v="8"/>
    <s v="Frances Baard"/>
    <x v="1"/>
    <x v="2"/>
    <n v="1688"/>
    <n v="31.1"/>
    <n v="55"/>
    <n v="16"/>
    <b v="1"/>
    <b v="1"/>
  </r>
  <r>
    <x v="7"/>
    <n v="8"/>
    <s v="Frances Baard"/>
    <x v="2"/>
    <x v="0"/>
    <n v="2609"/>
    <n v="31.1"/>
    <n v="84"/>
    <n v="20"/>
    <b v="1"/>
    <b v="1"/>
  </r>
  <r>
    <x v="7"/>
    <n v="8"/>
    <s v="Frances Baard"/>
    <x v="2"/>
    <x v="1"/>
    <n v="2546"/>
    <n v="31.1"/>
    <n v="82"/>
    <n v="20"/>
    <b v="1"/>
    <b v="1"/>
  </r>
  <r>
    <x v="7"/>
    <n v="8"/>
    <s v="Frances Baard"/>
    <x v="2"/>
    <x v="2"/>
    <n v="2371"/>
    <n v="31.1"/>
    <n v="77"/>
    <n v="20"/>
    <b v="1"/>
    <b v="1"/>
  </r>
  <r>
    <x v="7"/>
    <n v="8"/>
    <s v="Frances Baard"/>
    <x v="3"/>
    <x v="0"/>
    <n v="1042"/>
    <n v="31.1"/>
    <n v="34"/>
    <n v="10"/>
    <b v="0"/>
    <b v="1"/>
  </r>
  <r>
    <x v="7"/>
    <n v="8"/>
    <s v="Frances Baard"/>
    <x v="3"/>
    <x v="1"/>
    <n v="1080"/>
    <n v="31.1"/>
    <n v="35"/>
    <n v="10"/>
    <b v="0"/>
    <b v="1"/>
  </r>
  <r>
    <x v="7"/>
    <n v="8"/>
    <s v="Frances Baard"/>
    <x v="3"/>
    <x v="2"/>
    <n v="984"/>
    <n v="31.1"/>
    <n v="32"/>
    <n v="10"/>
    <b v="0"/>
    <b v="1"/>
  </r>
  <r>
    <x v="7"/>
    <n v="8"/>
    <s v="Frances Baard"/>
    <x v="4"/>
    <x v="0"/>
    <n v="941"/>
    <n v="31.1"/>
    <n v="31"/>
    <n v="9"/>
    <b v="0"/>
    <b v="1"/>
  </r>
  <r>
    <x v="7"/>
    <n v="8"/>
    <s v="Frances Baard"/>
    <x v="4"/>
    <x v="1"/>
    <n v="915"/>
    <n v="31.1"/>
    <n v="30"/>
    <n v="9"/>
    <b v="0"/>
    <b v="1"/>
  </r>
  <r>
    <x v="7"/>
    <n v="8"/>
    <s v="Frances Baard"/>
    <x v="4"/>
    <x v="2"/>
    <n v="920"/>
    <n v="31.1"/>
    <n v="30"/>
    <n v="9"/>
    <b v="0"/>
    <b v="1"/>
  </r>
  <r>
    <x v="7"/>
    <n v="8"/>
    <s v="John Taolo Gaetsewe"/>
    <x v="0"/>
    <x v="0"/>
    <n v="2852"/>
    <n v="31.18"/>
    <n v="92"/>
    <n v="39"/>
    <b v="1"/>
    <b v="1"/>
  </r>
  <r>
    <x v="7"/>
    <n v="8"/>
    <s v="John Taolo Gaetsewe"/>
    <x v="0"/>
    <x v="1"/>
    <n v="2648"/>
    <n v="31.18"/>
    <n v="85"/>
    <n v="39"/>
    <b v="1"/>
    <b v="1"/>
  </r>
  <r>
    <x v="7"/>
    <n v="8"/>
    <s v="John Taolo Gaetsewe"/>
    <x v="0"/>
    <x v="2"/>
    <n v="3077"/>
    <n v="31.18"/>
    <n v="99"/>
    <n v="39"/>
    <b v="1"/>
    <b v="1"/>
  </r>
  <r>
    <x v="7"/>
    <n v="8"/>
    <s v="John Taolo Gaetsewe"/>
    <x v="1"/>
    <x v="0"/>
    <n v="788"/>
    <n v="31.18"/>
    <n v="26"/>
    <n v="6"/>
    <b v="1"/>
    <b v="1"/>
  </r>
  <r>
    <x v="7"/>
    <n v="8"/>
    <s v="John Taolo Gaetsewe"/>
    <x v="1"/>
    <x v="1"/>
    <n v="687"/>
    <n v="31.18"/>
    <n v="23"/>
    <n v="6"/>
    <b v="1"/>
    <b v="1"/>
  </r>
  <r>
    <x v="7"/>
    <n v="8"/>
    <s v="John Taolo Gaetsewe"/>
    <x v="1"/>
    <x v="2"/>
    <n v="706"/>
    <n v="31.18"/>
    <n v="23"/>
    <n v="6"/>
    <b v="1"/>
    <b v="1"/>
  </r>
  <r>
    <x v="7"/>
    <n v="8"/>
    <s v="John Taolo Gaetsewe"/>
    <x v="2"/>
    <x v="0"/>
    <n v="1341"/>
    <n v="31.18"/>
    <n v="44"/>
    <n v="19"/>
    <b v="1"/>
    <b v="1"/>
  </r>
  <r>
    <x v="7"/>
    <n v="8"/>
    <s v="John Taolo Gaetsewe"/>
    <x v="2"/>
    <x v="1"/>
    <n v="1351"/>
    <n v="31.18"/>
    <n v="44"/>
    <n v="19"/>
    <b v="1"/>
    <b v="1"/>
  </r>
  <r>
    <x v="7"/>
    <n v="8"/>
    <s v="John Taolo Gaetsewe"/>
    <x v="2"/>
    <x v="2"/>
    <n v="1385"/>
    <n v="31.18"/>
    <n v="45"/>
    <n v="19"/>
    <b v="1"/>
    <b v="1"/>
  </r>
  <r>
    <x v="7"/>
    <n v="8"/>
    <s v="John Taolo Gaetsewe"/>
    <x v="4"/>
    <x v="0"/>
    <n v="510"/>
    <n v="31.18"/>
    <n v="17"/>
    <n v="4"/>
    <b v="0"/>
    <b v="1"/>
  </r>
  <r>
    <x v="7"/>
    <n v="8"/>
    <s v="John Taolo Gaetsewe"/>
    <x v="4"/>
    <x v="1"/>
    <n v="481"/>
    <n v="31.18"/>
    <n v="16"/>
    <n v="4"/>
    <b v="0"/>
    <b v="1"/>
  </r>
  <r>
    <x v="7"/>
    <n v="8"/>
    <s v="John Taolo Gaetsewe"/>
    <x v="4"/>
    <x v="2"/>
    <n v="491"/>
    <n v="31.18"/>
    <n v="16"/>
    <n v="4"/>
    <b v="0"/>
    <b v="1"/>
  </r>
  <r>
    <x v="7"/>
    <n v="8"/>
    <s v="Namakwa"/>
    <x v="0"/>
    <x v="0"/>
    <n v="28"/>
    <n v="28.09"/>
    <n v="1"/>
    <n v="1"/>
    <b v="1"/>
    <b v="1"/>
  </r>
  <r>
    <x v="7"/>
    <n v="8"/>
    <s v="Namakwa"/>
    <x v="0"/>
    <x v="1"/>
    <n v="31"/>
    <n v="28.09"/>
    <n v="2"/>
    <n v="1"/>
    <b v="1"/>
    <b v="1"/>
  </r>
  <r>
    <x v="7"/>
    <n v="8"/>
    <s v="Namakwa"/>
    <x v="0"/>
    <x v="2"/>
    <n v="28"/>
    <n v="28.09"/>
    <n v="1"/>
    <n v="1"/>
    <b v="1"/>
    <b v="1"/>
  </r>
  <r>
    <x v="7"/>
    <n v="8"/>
    <s v="Namakwa"/>
    <x v="1"/>
    <x v="0"/>
    <n v="223"/>
    <n v="28.09"/>
    <n v="8"/>
    <n v="3"/>
    <b v="1"/>
    <b v="1"/>
  </r>
  <r>
    <x v="7"/>
    <n v="8"/>
    <s v="Namakwa"/>
    <x v="1"/>
    <x v="1"/>
    <n v="204"/>
    <n v="28.09"/>
    <n v="8"/>
    <n v="3"/>
    <b v="1"/>
    <b v="1"/>
  </r>
  <r>
    <x v="7"/>
    <n v="8"/>
    <s v="Namakwa"/>
    <x v="1"/>
    <x v="2"/>
    <n v="198"/>
    <n v="28.09"/>
    <n v="8"/>
    <n v="3"/>
    <b v="1"/>
    <b v="1"/>
  </r>
  <r>
    <x v="7"/>
    <n v="8"/>
    <s v="Namakwa"/>
    <x v="2"/>
    <x v="0"/>
    <n v="72"/>
    <n v="28.09"/>
    <n v="3"/>
    <n v="1"/>
    <b v="1"/>
    <b v="1"/>
  </r>
  <r>
    <x v="7"/>
    <n v="8"/>
    <s v="Namakwa"/>
    <x v="2"/>
    <x v="1"/>
    <n v="51"/>
    <n v="28.09"/>
    <n v="2"/>
    <n v="1"/>
    <b v="1"/>
    <b v="1"/>
  </r>
  <r>
    <x v="7"/>
    <n v="8"/>
    <s v="Namakwa"/>
    <x v="2"/>
    <x v="2"/>
    <n v="46"/>
    <n v="28.09"/>
    <n v="2"/>
    <n v="1"/>
    <b v="1"/>
    <b v="1"/>
  </r>
  <r>
    <x v="7"/>
    <n v="8"/>
    <s v="Namakwa"/>
    <x v="3"/>
    <x v="0"/>
    <n v="688"/>
    <n v="28.09"/>
    <n v="25"/>
    <n v="7"/>
    <b v="0"/>
    <b v="1"/>
  </r>
  <r>
    <x v="7"/>
    <n v="8"/>
    <s v="Namakwa"/>
    <x v="3"/>
    <x v="1"/>
    <n v="608"/>
    <n v="28.09"/>
    <n v="22"/>
    <n v="7"/>
    <b v="0"/>
    <b v="1"/>
  </r>
  <r>
    <x v="7"/>
    <n v="8"/>
    <s v="Namakwa"/>
    <x v="3"/>
    <x v="2"/>
    <n v="577"/>
    <n v="28.09"/>
    <n v="21"/>
    <n v="7"/>
    <b v="0"/>
    <b v="1"/>
  </r>
  <r>
    <x v="7"/>
    <n v="8"/>
    <s v="Namakwa"/>
    <x v="4"/>
    <x v="0"/>
    <n v="642"/>
    <n v="28.09"/>
    <n v="23"/>
    <n v="10"/>
    <b v="0"/>
    <b v="1"/>
  </r>
  <r>
    <x v="7"/>
    <n v="8"/>
    <s v="Namakwa"/>
    <x v="4"/>
    <x v="1"/>
    <n v="609"/>
    <n v="28.09"/>
    <n v="22"/>
    <n v="10"/>
    <b v="0"/>
    <b v="1"/>
  </r>
  <r>
    <x v="7"/>
    <n v="8"/>
    <s v="Namakwa"/>
    <x v="4"/>
    <x v="2"/>
    <n v="569"/>
    <n v="28.09"/>
    <n v="21"/>
    <n v="10"/>
    <b v="0"/>
    <b v="1"/>
  </r>
  <r>
    <x v="7"/>
    <n v="8"/>
    <s v="Pixley Ka Seme"/>
    <x v="0"/>
    <x v="0"/>
    <n v="281"/>
    <n v="29.84"/>
    <n v="10"/>
    <n v="3"/>
    <b v="1"/>
    <b v="1"/>
  </r>
  <r>
    <x v="7"/>
    <n v="8"/>
    <s v="Pixley Ka Seme"/>
    <x v="0"/>
    <x v="1"/>
    <n v="288"/>
    <n v="29.84"/>
    <n v="10"/>
    <n v="3"/>
    <b v="1"/>
    <b v="1"/>
  </r>
  <r>
    <x v="7"/>
    <n v="8"/>
    <s v="Pixley Ka Seme"/>
    <x v="0"/>
    <x v="2"/>
    <n v="239"/>
    <n v="29.84"/>
    <n v="9"/>
    <n v="3"/>
    <b v="1"/>
    <b v="1"/>
  </r>
  <r>
    <x v="7"/>
    <n v="8"/>
    <s v="Pixley Ka Seme"/>
    <x v="1"/>
    <x v="0"/>
    <n v="1856"/>
    <n v="29.84"/>
    <n v="63"/>
    <n v="15"/>
    <b v="1"/>
    <b v="1"/>
  </r>
  <r>
    <x v="7"/>
    <n v="8"/>
    <s v="Pixley Ka Seme"/>
    <x v="1"/>
    <x v="1"/>
    <n v="1600"/>
    <n v="29.84"/>
    <n v="54"/>
    <n v="15"/>
    <b v="1"/>
    <b v="1"/>
  </r>
  <r>
    <x v="7"/>
    <n v="8"/>
    <s v="Pixley Ka Seme"/>
    <x v="1"/>
    <x v="2"/>
    <n v="1489"/>
    <n v="29.84"/>
    <n v="50"/>
    <n v="15"/>
    <b v="1"/>
    <b v="1"/>
  </r>
  <r>
    <x v="7"/>
    <n v="8"/>
    <s v="Pixley Ka Seme"/>
    <x v="2"/>
    <x v="0"/>
    <n v="763"/>
    <n v="29.84"/>
    <n v="26"/>
    <n v="8"/>
    <b v="1"/>
    <b v="1"/>
  </r>
  <r>
    <x v="7"/>
    <n v="8"/>
    <s v="Pixley Ka Seme"/>
    <x v="2"/>
    <x v="1"/>
    <n v="684"/>
    <n v="29.84"/>
    <n v="23"/>
    <n v="8"/>
    <b v="1"/>
    <b v="1"/>
  </r>
  <r>
    <x v="7"/>
    <n v="8"/>
    <s v="Pixley Ka Seme"/>
    <x v="2"/>
    <x v="2"/>
    <n v="608"/>
    <n v="29.84"/>
    <n v="21"/>
    <n v="8"/>
    <b v="1"/>
    <b v="1"/>
  </r>
  <r>
    <x v="7"/>
    <n v="8"/>
    <s v="Pixley Ka Seme"/>
    <x v="3"/>
    <x v="0"/>
    <n v="724"/>
    <n v="29.84"/>
    <n v="25"/>
    <n v="7"/>
    <b v="0"/>
    <b v="1"/>
  </r>
  <r>
    <x v="7"/>
    <n v="8"/>
    <s v="Pixley Ka Seme"/>
    <x v="3"/>
    <x v="1"/>
    <n v="610"/>
    <n v="29.84"/>
    <n v="21"/>
    <n v="7"/>
    <b v="0"/>
    <b v="1"/>
  </r>
  <r>
    <x v="7"/>
    <n v="8"/>
    <s v="Pixley Ka Seme"/>
    <x v="3"/>
    <x v="2"/>
    <n v="600"/>
    <n v="29.84"/>
    <n v="21"/>
    <n v="7"/>
    <b v="0"/>
    <b v="1"/>
  </r>
  <r>
    <x v="7"/>
    <n v="8"/>
    <s v="Pixley Ka Seme"/>
    <x v="4"/>
    <x v="0"/>
    <n v="153"/>
    <n v="29.84"/>
    <n v="6"/>
    <n v="4"/>
    <b v="0"/>
    <b v="1"/>
  </r>
  <r>
    <x v="7"/>
    <n v="8"/>
    <s v="Pixley Ka Seme"/>
    <x v="4"/>
    <x v="1"/>
    <n v="185"/>
    <n v="29.84"/>
    <n v="7"/>
    <n v="4"/>
    <b v="0"/>
    <b v="1"/>
  </r>
  <r>
    <x v="7"/>
    <n v="8"/>
    <s v="Pixley Ka Seme"/>
    <x v="4"/>
    <x v="2"/>
    <n v="173"/>
    <n v="29.84"/>
    <n v="6"/>
    <n v="4"/>
    <b v="0"/>
    <b v="1"/>
  </r>
  <r>
    <x v="7"/>
    <n v="8"/>
    <s v="Zf Mgcawu"/>
    <x v="0"/>
    <x v="0"/>
    <n v="158"/>
    <n v="28.81"/>
    <n v="6"/>
    <n v="4"/>
    <b v="1"/>
    <b v="1"/>
  </r>
  <r>
    <x v="7"/>
    <n v="8"/>
    <s v="Zf Mgcawu"/>
    <x v="0"/>
    <x v="1"/>
    <n v="199"/>
    <n v="28.81"/>
    <n v="7"/>
    <n v="4"/>
    <b v="1"/>
    <b v="1"/>
  </r>
  <r>
    <x v="7"/>
    <n v="8"/>
    <s v="Zf Mgcawu"/>
    <x v="0"/>
    <x v="2"/>
    <n v="175"/>
    <n v="28.81"/>
    <n v="7"/>
    <n v="4"/>
    <b v="1"/>
    <b v="1"/>
  </r>
  <r>
    <x v="7"/>
    <n v="8"/>
    <s v="Zf Mgcawu"/>
    <x v="1"/>
    <x v="0"/>
    <n v="650"/>
    <n v="28.81"/>
    <n v="23"/>
    <n v="7"/>
    <b v="1"/>
    <b v="1"/>
  </r>
  <r>
    <x v="7"/>
    <n v="8"/>
    <s v="Zf Mgcawu"/>
    <x v="1"/>
    <x v="1"/>
    <n v="613"/>
    <n v="28.81"/>
    <n v="22"/>
    <n v="7"/>
    <b v="1"/>
    <b v="1"/>
  </r>
  <r>
    <x v="7"/>
    <n v="8"/>
    <s v="Zf Mgcawu"/>
    <x v="1"/>
    <x v="2"/>
    <n v="598"/>
    <n v="28.81"/>
    <n v="21"/>
    <n v="7"/>
    <b v="1"/>
    <b v="1"/>
  </r>
  <r>
    <x v="7"/>
    <n v="8"/>
    <s v="Zf Mgcawu"/>
    <x v="2"/>
    <x v="0"/>
    <n v="473"/>
    <n v="28.81"/>
    <n v="17"/>
    <n v="5"/>
    <b v="1"/>
    <b v="1"/>
  </r>
  <r>
    <x v="7"/>
    <n v="8"/>
    <s v="Zf Mgcawu"/>
    <x v="2"/>
    <x v="1"/>
    <n v="405"/>
    <n v="28.81"/>
    <n v="15"/>
    <n v="5"/>
    <b v="1"/>
    <b v="1"/>
  </r>
  <r>
    <x v="7"/>
    <n v="8"/>
    <s v="Zf Mgcawu"/>
    <x v="2"/>
    <x v="2"/>
    <n v="346"/>
    <n v="28.81"/>
    <n v="13"/>
    <n v="5"/>
    <b v="1"/>
    <b v="1"/>
  </r>
  <r>
    <x v="7"/>
    <n v="8"/>
    <s v="Zf Mgcawu"/>
    <x v="3"/>
    <x v="0"/>
    <n v="934"/>
    <n v="28.81"/>
    <n v="33"/>
    <n v="8"/>
    <b v="0"/>
    <b v="1"/>
  </r>
  <r>
    <x v="7"/>
    <n v="8"/>
    <s v="Zf Mgcawu"/>
    <x v="3"/>
    <x v="1"/>
    <n v="824"/>
    <n v="28.81"/>
    <n v="29"/>
    <n v="8"/>
    <b v="0"/>
    <b v="1"/>
  </r>
  <r>
    <x v="7"/>
    <n v="8"/>
    <s v="Zf Mgcawu"/>
    <x v="3"/>
    <x v="2"/>
    <n v="822"/>
    <n v="28.81"/>
    <n v="29"/>
    <n v="8"/>
    <b v="0"/>
    <b v="1"/>
  </r>
  <r>
    <x v="7"/>
    <n v="8"/>
    <s v="Zf Mgcawu"/>
    <x v="4"/>
    <x v="0"/>
    <n v="591"/>
    <n v="28.81"/>
    <n v="21"/>
    <n v="7"/>
    <b v="0"/>
    <b v="1"/>
  </r>
  <r>
    <x v="7"/>
    <n v="8"/>
    <s v="Zf Mgcawu"/>
    <x v="4"/>
    <x v="1"/>
    <n v="571"/>
    <n v="28.81"/>
    <n v="20"/>
    <n v="7"/>
    <b v="0"/>
    <b v="1"/>
  </r>
  <r>
    <x v="7"/>
    <n v="8"/>
    <s v="Zf Mgcawu"/>
    <x v="4"/>
    <x v="2"/>
    <n v="577"/>
    <n v="28.81"/>
    <n v="21"/>
    <n v="7"/>
    <b v="0"/>
    <b v="1"/>
  </r>
  <r>
    <x v="8"/>
    <n v="9"/>
    <s v="Cape Winelands"/>
    <x v="0"/>
    <x v="0"/>
    <n v="3956"/>
    <n v="30.05"/>
    <n v="132"/>
    <n v="44"/>
    <b v="1"/>
    <b v="1"/>
  </r>
  <r>
    <x v="8"/>
    <n v="9"/>
    <s v="Cape Winelands"/>
    <x v="0"/>
    <x v="1"/>
    <n v="4065"/>
    <n v="30.05"/>
    <n v="136"/>
    <n v="44"/>
    <b v="1"/>
    <b v="1"/>
  </r>
  <r>
    <x v="8"/>
    <n v="9"/>
    <s v="Cape Winelands"/>
    <x v="0"/>
    <x v="2"/>
    <n v="3967"/>
    <n v="30.05"/>
    <n v="133"/>
    <n v="44"/>
    <b v="1"/>
    <b v="1"/>
  </r>
  <r>
    <x v="8"/>
    <n v="9"/>
    <s v="Cape Winelands"/>
    <x v="1"/>
    <x v="0"/>
    <n v="1864"/>
    <n v="30.05"/>
    <n v="63"/>
    <n v="19"/>
    <b v="1"/>
    <b v="1"/>
  </r>
  <r>
    <x v="8"/>
    <n v="9"/>
    <s v="Cape Winelands"/>
    <x v="1"/>
    <x v="1"/>
    <n v="2037"/>
    <n v="30.05"/>
    <n v="68"/>
    <n v="19"/>
    <b v="1"/>
    <b v="1"/>
  </r>
  <r>
    <x v="8"/>
    <n v="9"/>
    <s v="Cape Winelands"/>
    <x v="1"/>
    <x v="2"/>
    <n v="1924"/>
    <n v="30.05"/>
    <n v="65"/>
    <n v="19"/>
    <b v="1"/>
    <b v="1"/>
  </r>
  <r>
    <x v="8"/>
    <n v="9"/>
    <s v="Cape Winelands"/>
    <x v="2"/>
    <x v="0"/>
    <n v="1298"/>
    <n v="30.05"/>
    <n v="44"/>
    <n v="15"/>
    <b v="1"/>
    <b v="1"/>
  </r>
  <r>
    <x v="8"/>
    <n v="9"/>
    <s v="Cape Winelands"/>
    <x v="2"/>
    <x v="1"/>
    <n v="1419"/>
    <n v="30.05"/>
    <n v="48"/>
    <n v="15"/>
    <b v="1"/>
    <b v="1"/>
  </r>
  <r>
    <x v="8"/>
    <n v="9"/>
    <s v="Cape Winelands"/>
    <x v="2"/>
    <x v="2"/>
    <n v="1332"/>
    <n v="30.05"/>
    <n v="45"/>
    <n v="15"/>
    <b v="1"/>
    <b v="1"/>
  </r>
  <r>
    <x v="8"/>
    <n v="9"/>
    <s v="Cape Winelands"/>
    <x v="3"/>
    <x v="0"/>
    <n v="2032"/>
    <n v="30.05"/>
    <n v="68"/>
    <n v="20"/>
    <b v="0"/>
    <b v="1"/>
  </r>
  <r>
    <x v="8"/>
    <n v="9"/>
    <s v="Cape Winelands"/>
    <x v="3"/>
    <x v="1"/>
    <n v="2057"/>
    <n v="30.05"/>
    <n v="69"/>
    <n v="20"/>
    <b v="0"/>
    <b v="1"/>
  </r>
  <r>
    <x v="8"/>
    <n v="9"/>
    <s v="Cape Winelands"/>
    <x v="3"/>
    <x v="2"/>
    <n v="1972"/>
    <n v="30.05"/>
    <n v="66"/>
    <n v="20"/>
    <b v="0"/>
    <b v="1"/>
  </r>
  <r>
    <x v="8"/>
    <n v="9"/>
    <s v="Cape Winelands"/>
    <x v="4"/>
    <x v="0"/>
    <n v="2522"/>
    <n v="30.05"/>
    <n v="84"/>
    <n v="33"/>
    <b v="0"/>
    <b v="1"/>
  </r>
  <r>
    <x v="8"/>
    <n v="9"/>
    <s v="Cape Winelands"/>
    <x v="4"/>
    <x v="1"/>
    <n v="2616"/>
    <n v="30.05"/>
    <n v="88"/>
    <n v="33"/>
    <b v="0"/>
    <b v="1"/>
  </r>
  <r>
    <x v="8"/>
    <n v="9"/>
    <s v="Cape Winelands"/>
    <x v="4"/>
    <x v="2"/>
    <n v="2668"/>
    <n v="30.05"/>
    <n v="89"/>
    <n v="33"/>
    <b v="0"/>
    <b v="1"/>
  </r>
  <r>
    <x v="8"/>
    <n v="9"/>
    <s v="Eden And Central Karoo"/>
    <x v="0"/>
    <x v="0"/>
    <n v="1963"/>
    <n v="31.3"/>
    <n v="63"/>
    <n v="21"/>
    <b v="1"/>
    <b v="1"/>
  </r>
  <r>
    <x v="8"/>
    <n v="9"/>
    <s v="Eden And Central Karoo"/>
    <x v="0"/>
    <x v="1"/>
    <n v="2057"/>
    <n v="31.3"/>
    <n v="66"/>
    <n v="21"/>
    <b v="1"/>
    <b v="1"/>
  </r>
  <r>
    <x v="8"/>
    <n v="9"/>
    <s v="Eden And Central Karoo"/>
    <x v="0"/>
    <x v="2"/>
    <n v="2166"/>
    <n v="31.3"/>
    <n v="70"/>
    <n v="21"/>
    <b v="1"/>
    <b v="1"/>
  </r>
  <r>
    <x v="8"/>
    <n v="9"/>
    <s v="Eden And Central Karoo"/>
    <x v="1"/>
    <x v="0"/>
    <n v="2659"/>
    <n v="31.3"/>
    <n v="85"/>
    <n v="20"/>
    <b v="1"/>
    <b v="1"/>
  </r>
  <r>
    <x v="8"/>
    <n v="9"/>
    <s v="Eden And Central Karoo"/>
    <x v="1"/>
    <x v="1"/>
    <n v="2925"/>
    <n v="31.3"/>
    <n v="94"/>
    <n v="20"/>
    <b v="1"/>
    <b v="1"/>
  </r>
  <r>
    <x v="8"/>
    <n v="9"/>
    <s v="Eden And Central Karoo"/>
    <x v="1"/>
    <x v="2"/>
    <n v="2996"/>
    <n v="31.3"/>
    <n v="96"/>
    <n v="20"/>
    <b v="1"/>
    <b v="1"/>
  </r>
  <r>
    <x v="8"/>
    <n v="9"/>
    <s v="Eden And Central Karoo"/>
    <x v="2"/>
    <x v="0"/>
    <n v="2246"/>
    <n v="31.3"/>
    <n v="72"/>
    <n v="18"/>
    <b v="1"/>
    <b v="1"/>
  </r>
  <r>
    <x v="8"/>
    <n v="9"/>
    <s v="Eden And Central Karoo"/>
    <x v="2"/>
    <x v="1"/>
    <n v="2461"/>
    <n v="31.3"/>
    <n v="79"/>
    <n v="18"/>
    <b v="1"/>
    <b v="1"/>
  </r>
  <r>
    <x v="8"/>
    <n v="9"/>
    <s v="Eden And Central Karoo"/>
    <x v="2"/>
    <x v="2"/>
    <n v="2500"/>
    <n v="31.3"/>
    <n v="80"/>
    <n v="18"/>
    <b v="1"/>
    <b v="1"/>
  </r>
  <r>
    <x v="8"/>
    <n v="9"/>
    <s v="Eden And Central Karoo"/>
    <x v="3"/>
    <x v="0"/>
    <n v="1523"/>
    <n v="31.3"/>
    <n v="49"/>
    <n v="14"/>
    <b v="0"/>
    <b v="1"/>
  </r>
  <r>
    <x v="8"/>
    <n v="9"/>
    <s v="Eden And Central Karoo"/>
    <x v="3"/>
    <x v="1"/>
    <n v="1660"/>
    <n v="31.3"/>
    <n v="54"/>
    <n v="14"/>
    <b v="0"/>
    <b v="1"/>
  </r>
  <r>
    <x v="8"/>
    <n v="9"/>
    <s v="Eden And Central Karoo"/>
    <x v="3"/>
    <x v="2"/>
    <n v="1626"/>
    <n v="31.3"/>
    <n v="52"/>
    <n v="14"/>
    <b v="0"/>
    <b v="1"/>
  </r>
  <r>
    <x v="8"/>
    <n v="9"/>
    <s v="Eden And Central Karoo"/>
    <x v="4"/>
    <x v="0"/>
    <n v="1570"/>
    <n v="31.3"/>
    <n v="51"/>
    <n v="23"/>
    <b v="0"/>
    <b v="1"/>
  </r>
  <r>
    <x v="8"/>
    <n v="9"/>
    <s v="Eden And Central Karoo"/>
    <x v="4"/>
    <x v="1"/>
    <n v="1574"/>
    <n v="31.3"/>
    <n v="51"/>
    <n v="23"/>
    <b v="0"/>
    <b v="1"/>
  </r>
  <r>
    <x v="8"/>
    <n v="9"/>
    <s v="Eden And Central Karoo"/>
    <x v="4"/>
    <x v="2"/>
    <n v="1670"/>
    <n v="31.3"/>
    <n v="54"/>
    <n v="23"/>
    <b v="0"/>
    <b v="1"/>
  </r>
  <r>
    <x v="8"/>
    <n v="9"/>
    <s v="Metro Central"/>
    <x v="1"/>
    <x v="0"/>
    <n v="231"/>
    <n v="30.66"/>
    <n v="8"/>
    <n v="2"/>
    <b v="1"/>
    <b v="1"/>
  </r>
  <r>
    <x v="8"/>
    <n v="9"/>
    <s v="Metro Central"/>
    <x v="1"/>
    <x v="1"/>
    <n v="255"/>
    <n v="30.66"/>
    <n v="9"/>
    <n v="2"/>
    <b v="1"/>
    <b v="1"/>
  </r>
  <r>
    <x v="8"/>
    <n v="9"/>
    <s v="Metro Central"/>
    <x v="1"/>
    <x v="2"/>
    <n v="244"/>
    <n v="30.66"/>
    <n v="8"/>
    <n v="2"/>
    <b v="1"/>
    <b v="1"/>
  </r>
  <r>
    <x v="8"/>
    <n v="9"/>
    <s v="Metro Central"/>
    <x v="2"/>
    <x v="0"/>
    <n v="1725"/>
    <n v="30.66"/>
    <n v="57"/>
    <n v="18"/>
    <b v="1"/>
    <b v="1"/>
  </r>
  <r>
    <x v="8"/>
    <n v="9"/>
    <s v="Metro Central"/>
    <x v="2"/>
    <x v="1"/>
    <n v="1772"/>
    <n v="30.66"/>
    <n v="58"/>
    <n v="18"/>
    <b v="1"/>
    <b v="1"/>
  </r>
  <r>
    <x v="8"/>
    <n v="9"/>
    <s v="Metro Central"/>
    <x v="2"/>
    <x v="2"/>
    <n v="1846"/>
    <n v="30.66"/>
    <n v="61"/>
    <n v="18"/>
    <b v="1"/>
    <b v="1"/>
  </r>
  <r>
    <x v="8"/>
    <n v="9"/>
    <s v="Metro Central"/>
    <x v="3"/>
    <x v="0"/>
    <n v="5081"/>
    <n v="30.66"/>
    <n v="166"/>
    <n v="55"/>
    <b v="0"/>
    <b v="1"/>
  </r>
  <r>
    <x v="8"/>
    <n v="9"/>
    <s v="Metro Central"/>
    <x v="3"/>
    <x v="1"/>
    <n v="5227"/>
    <n v="30.66"/>
    <n v="171"/>
    <n v="55"/>
    <b v="0"/>
    <b v="1"/>
  </r>
  <r>
    <x v="8"/>
    <n v="9"/>
    <s v="Metro Central"/>
    <x v="3"/>
    <x v="2"/>
    <n v="5112"/>
    <n v="30.66"/>
    <n v="167"/>
    <n v="55"/>
    <b v="0"/>
    <b v="1"/>
  </r>
  <r>
    <x v="8"/>
    <n v="9"/>
    <s v="Metro Central"/>
    <x v="4"/>
    <x v="0"/>
    <n v="5187"/>
    <n v="30.66"/>
    <n v="170"/>
    <n v="66"/>
    <b v="0"/>
    <b v="1"/>
  </r>
  <r>
    <x v="8"/>
    <n v="9"/>
    <s v="Metro Central"/>
    <x v="4"/>
    <x v="1"/>
    <n v="5288"/>
    <n v="30.66"/>
    <n v="173"/>
    <n v="66"/>
    <b v="0"/>
    <b v="1"/>
  </r>
  <r>
    <x v="8"/>
    <n v="9"/>
    <s v="Metro Central"/>
    <x v="4"/>
    <x v="2"/>
    <n v="5392"/>
    <n v="30.66"/>
    <n v="176"/>
    <n v="66"/>
    <b v="0"/>
    <b v="1"/>
  </r>
  <r>
    <x v="8"/>
    <n v="9"/>
    <s v="Metro East"/>
    <x v="0"/>
    <x v="0"/>
    <n v="460"/>
    <n v="34.119999999999997"/>
    <n v="14"/>
    <n v="3"/>
    <b v="1"/>
    <b v="1"/>
  </r>
  <r>
    <x v="8"/>
    <n v="9"/>
    <s v="Metro East"/>
    <x v="0"/>
    <x v="1"/>
    <n v="417"/>
    <n v="34.119999999999997"/>
    <n v="13"/>
    <n v="3"/>
    <b v="1"/>
    <b v="1"/>
  </r>
  <r>
    <x v="8"/>
    <n v="9"/>
    <s v="Metro East"/>
    <x v="0"/>
    <x v="2"/>
    <n v="403"/>
    <n v="34.119999999999997"/>
    <n v="12"/>
    <n v="3"/>
    <b v="1"/>
    <b v="1"/>
  </r>
  <r>
    <x v="8"/>
    <n v="9"/>
    <s v="Metro East"/>
    <x v="1"/>
    <x v="0"/>
    <n v="5031"/>
    <n v="34.119999999999997"/>
    <n v="148"/>
    <n v="30"/>
    <b v="1"/>
    <b v="1"/>
  </r>
  <r>
    <x v="8"/>
    <n v="9"/>
    <s v="Metro East"/>
    <x v="1"/>
    <x v="1"/>
    <n v="5095"/>
    <n v="34.119999999999997"/>
    <n v="150"/>
    <n v="30"/>
    <b v="1"/>
    <b v="1"/>
  </r>
  <r>
    <x v="8"/>
    <n v="9"/>
    <s v="Metro East"/>
    <x v="1"/>
    <x v="2"/>
    <n v="4835"/>
    <n v="34.119999999999997"/>
    <n v="142"/>
    <n v="30"/>
    <b v="1"/>
    <b v="1"/>
  </r>
  <r>
    <x v="8"/>
    <n v="9"/>
    <s v="Metro East"/>
    <x v="2"/>
    <x v="0"/>
    <n v="3329"/>
    <n v="34.119999999999997"/>
    <n v="98"/>
    <n v="21"/>
    <b v="1"/>
    <b v="1"/>
  </r>
  <r>
    <x v="8"/>
    <n v="9"/>
    <s v="Metro East"/>
    <x v="2"/>
    <x v="1"/>
    <n v="3423"/>
    <n v="34.119999999999997"/>
    <n v="101"/>
    <n v="21"/>
    <b v="1"/>
    <b v="1"/>
  </r>
  <r>
    <x v="8"/>
    <n v="9"/>
    <s v="Metro East"/>
    <x v="2"/>
    <x v="2"/>
    <n v="3408"/>
    <n v="34.119999999999997"/>
    <n v="100"/>
    <n v="21"/>
    <b v="1"/>
    <b v="1"/>
  </r>
  <r>
    <x v="8"/>
    <n v="9"/>
    <s v="Metro East"/>
    <x v="3"/>
    <x v="0"/>
    <n v="1977"/>
    <n v="34.119999999999997"/>
    <n v="58"/>
    <n v="12"/>
    <b v="0"/>
    <b v="1"/>
  </r>
  <r>
    <x v="8"/>
    <n v="9"/>
    <s v="Metro East"/>
    <x v="3"/>
    <x v="1"/>
    <n v="1962"/>
    <n v="34.119999999999997"/>
    <n v="58"/>
    <n v="12"/>
    <b v="0"/>
    <b v="1"/>
  </r>
  <r>
    <x v="8"/>
    <n v="9"/>
    <s v="Metro East"/>
    <x v="3"/>
    <x v="2"/>
    <n v="1858"/>
    <n v="34.119999999999997"/>
    <n v="55"/>
    <n v="12"/>
    <b v="0"/>
    <b v="1"/>
  </r>
  <r>
    <x v="8"/>
    <n v="9"/>
    <s v="Metro East"/>
    <x v="4"/>
    <x v="0"/>
    <n v="7349"/>
    <n v="34.119999999999997"/>
    <n v="216"/>
    <n v="49"/>
    <b v="0"/>
    <b v="1"/>
  </r>
  <r>
    <x v="8"/>
    <n v="9"/>
    <s v="Metro East"/>
    <x v="4"/>
    <x v="1"/>
    <n v="7595"/>
    <n v="34.119999999999997"/>
    <n v="223"/>
    <n v="49"/>
    <b v="0"/>
    <b v="1"/>
  </r>
  <r>
    <x v="8"/>
    <n v="9"/>
    <s v="Metro East"/>
    <x v="4"/>
    <x v="2"/>
    <n v="7413"/>
    <n v="34.119999999999997"/>
    <n v="218"/>
    <n v="49"/>
    <b v="0"/>
    <b v="1"/>
  </r>
  <r>
    <x v="8"/>
    <n v="9"/>
    <s v="Metro North"/>
    <x v="0"/>
    <x v="0"/>
    <n v="154"/>
    <n v="32.24"/>
    <n v="5"/>
    <n v="1"/>
    <b v="1"/>
    <b v="1"/>
  </r>
  <r>
    <x v="8"/>
    <n v="9"/>
    <s v="Metro North"/>
    <x v="0"/>
    <x v="1"/>
    <n v="187"/>
    <n v="32.24"/>
    <n v="6"/>
    <n v="1"/>
    <b v="1"/>
    <b v="1"/>
  </r>
  <r>
    <x v="8"/>
    <n v="9"/>
    <s v="Metro North"/>
    <x v="0"/>
    <x v="2"/>
    <n v="197"/>
    <n v="32.24"/>
    <n v="7"/>
    <n v="1"/>
    <b v="1"/>
    <b v="1"/>
  </r>
  <r>
    <x v="8"/>
    <n v="9"/>
    <s v="Metro North"/>
    <x v="2"/>
    <x v="0"/>
    <n v="3011"/>
    <n v="32.24"/>
    <n v="94"/>
    <n v="20"/>
    <b v="1"/>
    <b v="1"/>
  </r>
  <r>
    <x v="8"/>
    <n v="9"/>
    <s v="Metro North"/>
    <x v="2"/>
    <x v="1"/>
    <n v="3004"/>
    <n v="32.24"/>
    <n v="94"/>
    <n v="20"/>
    <b v="1"/>
    <b v="1"/>
  </r>
  <r>
    <x v="8"/>
    <n v="9"/>
    <s v="Metro North"/>
    <x v="2"/>
    <x v="2"/>
    <n v="2848"/>
    <n v="32.24"/>
    <n v="89"/>
    <n v="20"/>
    <b v="1"/>
    <b v="1"/>
  </r>
  <r>
    <x v="8"/>
    <n v="9"/>
    <s v="Metro North"/>
    <x v="3"/>
    <x v="0"/>
    <n v="9384"/>
    <n v="32.24"/>
    <n v="292"/>
    <n v="73"/>
    <b v="0"/>
    <b v="1"/>
  </r>
  <r>
    <x v="8"/>
    <n v="9"/>
    <s v="Metro North"/>
    <x v="3"/>
    <x v="1"/>
    <n v="9553"/>
    <n v="32.24"/>
    <n v="297"/>
    <n v="73"/>
    <b v="0"/>
    <b v="1"/>
  </r>
  <r>
    <x v="8"/>
    <n v="9"/>
    <s v="Metro North"/>
    <x v="3"/>
    <x v="2"/>
    <n v="8842"/>
    <n v="32.24"/>
    <n v="275"/>
    <n v="73"/>
    <b v="0"/>
    <b v="1"/>
  </r>
  <r>
    <x v="8"/>
    <n v="9"/>
    <s v="Metro North"/>
    <x v="4"/>
    <x v="0"/>
    <n v="5138"/>
    <n v="32.24"/>
    <n v="160"/>
    <n v="38"/>
    <b v="0"/>
    <b v="1"/>
  </r>
  <r>
    <x v="8"/>
    <n v="9"/>
    <s v="Metro North"/>
    <x v="4"/>
    <x v="1"/>
    <n v="5143"/>
    <n v="32.24"/>
    <n v="160"/>
    <n v="38"/>
    <b v="0"/>
    <b v="1"/>
  </r>
  <r>
    <x v="8"/>
    <n v="9"/>
    <s v="Metro North"/>
    <x v="4"/>
    <x v="2"/>
    <n v="5039"/>
    <n v="32.24"/>
    <n v="157"/>
    <n v="38"/>
    <b v="0"/>
    <b v="1"/>
  </r>
  <r>
    <x v="8"/>
    <n v="9"/>
    <s v="Metro South"/>
    <x v="1"/>
    <x v="0"/>
    <n v="2980"/>
    <n v="32.61"/>
    <n v="92"/>
    <n v="19"/>
    <b v="1"/>
    <b v="1"/>
  </r>
  <r>
    <x v="8"/>
    <n v="9"/>
    <s v="Metro South"/>
    <x v="1"/>
    <x v="1"/>
    <n v="3136"/>
    <n v="32.61"/>
    <n v="97"/>
    <n v="19"/>
    <b v="1"/>
    <b v="1"/>
  </r>
  <r>
    <x v="8"/>
    <n v="9"/>
    <s v="Metro South"/>
    <x v="1"/>
    <x v="2"/>
    <n v="3020"/>
    <n v="32.61"/>
    <n v="93"/>
    <n v="19"/>
    <b v="1"/>
    <b v="1"/>
  </r>
  <r>
    <x v="8"/>
    <n v="9"/>
    <s v="Metro South"/>
    <x v="2"/>
    <x v="0"/>
    <n v="1051"/>
    <n v="32.61"/>
    <n v="33"/>
    <n v="8"/>
    <b v="1"/>
    <b v="1"/>
  </r>
  <r>
    <x v="8"/>
    <n v="9"/>
    <s v="Metro South"/>
    <x v="2"/>
    <x v="1"/>
    <n v="1201"/>
    <n v="32.61"/>
    <n v="37"/>
    <n v="8"/>
    <b v="1"/>
    <b v="1"/>
  </r>
  <r>
    <x v="8"/>
    <n v="9"/>
    <s v="Metro South"/>
    <x v="2"/>
    <x v="2"/>
    <n v="1109"/>
    <n v="32.61"/>
    <n v="35"/>
    <n v="8"/>
    <b v="1"/>
    <b v="1"/>
  </r>
  <r>
    <x v="8"/>
    <n v="9"/>
    <s v="Metro South"/>
    <x v="3"/>
    <x v="0"/>
    <n v="6081"/>
    <n v="32.61"/>
    <n v="187"/>
    <n v="45"/>
    <b v="0"/>
    <b v="1"/>
  </r>
  <r>
    <x v="8"/>
    <n v="9"/>
    <s v="Metro South"/>
    <x v="3"/>
    <x v="1"/>
    <n v="6195"/>
    <n v="32.61"/>
    <n v="190"/>
    <n v="45"/>
    <b v="0"/>
    <b v="1"/>
  </r>
  <r>
    <x v="8"/>
    <n v="9"/>
    <s v="Metro South"/>
    <x v="3"/>
    <x v="2"/>
    <n v="6063"/>
    <n v="32.61"/>
    <n v="186"/>
    <n v="45"/>
    <b v="0"/>
    <b v="1"/>
  </r>
  <r>
    <x v="8"/>
    <n v="9"/>
    <s v="Metro South"/>
    <x v="4"/>
    <x v="0"/>
    <n v="7305"/>
    <n v="32.61"/>
    <n v="225"/>
    <n v="66"/>
    <b v="0"/>
    <b v="1"/>
  </r>
  <r>
    <x v="8"/>
    <n v="9"/>
    <s v="Metro South"/>
    <x v="4"/>
    <x v="1"/>
    <n v="7387"/>
    <n v="32.61"/>
    <n v="227"/>
    <n v="66"/>
    <b v="0"/>
    <b v="1"/>
  </r>
  <r>
    <x v="8"/>
    <n v="9"/>
    <s v="Metro South"/>
    <x v="4"/>
    <x v="2"/>
    <n v="7293"/>
    <n v="32.61"/>
    <n v="224"/>
    <n v="66"/>
    <b v="0"/>
    <b v="1"/>
  </r>
  <r>
    <x v="8"/>
    <n v="9"/>
    <s v="Overberg"/>
    <x v="0"/>
    <x v="0"/>
    <n v="601"/>
    <n v="30.74"/>
    <n v="20"/>
    <n v="7"/>
    <b v="1"/>
    <b v="1"/>
  </r>
  <r>
    <x v="8"/>
    <n v="9"/>
    <s v="Overberg"/>
    <x v="0"/>
    <x v="1"/>
    <n v="600"/>
    <n v="30.74"/>
    <n v="20"/>
    <n v="7"/>
    <b v="1"/>
    <b v="1"/>
  </r>
  <r>
    <x v="8"/>
    <n v="9"/>
    <s v="Overberg"/>
    <x v="0"/>
    <x v="2"/>
    <n v="555"/>
    <n v="30.74"/>
    <n v="19"/>
    <n v="7"/>
    <b v="1"/>
    <b v="1"/>
  </r>
  <r>
    <x v="8"/>
    <n v="9"/>
    <s v="Overberg"/>
    <x v="1"/>
    <x v="0"/>
    <n v="618"/>
    <n v="30.74"/>
    <n v="21"/>
    <n v="7"/>
    <b v="1"/>
    <b v="1"/>
  </r>
  <r>
    <x v="8"/>
    <n v="9"/>
    <s v="Overberg"/>
    <x v="1"/>
    <x v="1"/>
    <n v="654"/>
    <n v="30.74"/>
    <n v="22"/>
    <n v="7"/>
    <b v="1"/>
    <b v="1"/>
  </r>
  <r>
    <x v="8"/>
    <n v="9"/>
    <s v="Overberg"/>
    <x v="1"/>
    <x v="2"/>
    <n v="692"/>
    <n v="30.74"/>
    <n v="23"/>
    <n v="7"/>
    <b v="1"/>
    <b v="1"/>
  </r>
  <r>
    <x v="8"/>
    <n v="9"/>
    <s v="Overberg"/>
    <x v="2"/>
    <x v="0"/>
    <n v="1429"/>
    <n v="30.74"/>
    <n v="47"/>
    <n v="12"/>
    <b v="1"/>
    <b v="1"/>
  </r>
  <r>
    <x v="8"/>
    <n v="9"/>
    <s v="Overberg"/>
    <x v="2"/>
    <x v="1"/>
    <n v="1383"/>
    <n v="30.74"/>
    <n v="45"/>
    <n v="12"/>
    <b v="1"/>
    <b v="1"/>
  </r>
  <r>
    <x v="8"/>
    <n v="9"/>
    <s v="Overberg"/>
    <x v="2"/>
    <x v="2"/>
    <n v="1458"/>
    <n v="30.74"/>
    <n v="48"/>
    <n v="12"/>
    <b v="1"/>
    <b v="1"/>
  </r>
  <r>
    <x v="8"/>
    <n v="9"/>
    <s v="Overberg"/>
    <x v="3"/>
    <x v="0"/>
    <n v="525"/>
    <n v="30.74"/>
    <n v="18"/>
    <n v="5"/>
    <b v="0"/>
    <b v="1"/>
  </r>
  <r>
    <x v="8"/>
    <n v="9"/>
    <s v="Overberg"/>
    <x v="3"/>
    <x v="1"/>
    <n v="517"/>
    <n v="30.74"/>
    <n v="17"/>
    <n v="5"/>
    <b v="0"/>
    <b v="1"/>
  </r>
  <r>
    <x v="8"/>
    <n v="9"/>
    <s v="Overberg"/>
    <x v="3"/>
    <x v="2"/>
    <n v="487"/>
    <n v="30.74"/>
    <n v="16"/>
    <n v="5"/>
    <b v="0"/>
    <b v="1"/>
  </r>
  <r>
    <x v="8"/>
    <n v="9"/>
    <s v="Overberg"/>
    <x v="4"/>
    <x v="0"/>
    <n v="392"/>
    <n v="30.74"/>
    <n v="13"/>
    <n v="6"/>
    <b v="0"/>
    <b v="1"/>
  </r>
  <r>
    <x v="8"/>
    <n v="9"/>
    <s v="Overberg"/>
    <x v="4"/>
    <x v="1"/>
    <n v="441"/>
    <n v="30.74"/>
    <n v="15"/>
    <n v="6"/>
    <b v="0"/>
    <b v="1"/>
  </r>
  <r>
    <x v="8"/>
    <n v="9"/>
    <s v="Overberg"/>
    <x v="4"/>
    <x v="2"/>
    <n v="439"/>
    <n v="30.74"/>
    <n v="15"/>
    <n v="6"/>
    <b v="0"/>
    <b v="1"/>
  </r>
  <r>
    <x v="8"/>
    <n v="9"/>
    <s v="West Coast"/>
    <x v="0"/>
    <x v="0"/>
    <n v="1124"/>
    <n v="30.02"/>
    <n v="38"/>
    <n v="21"/>
    <b v="1"/>
    <b v="1"/>
  </r>
  <r>
    <x v="8"/>
    <n v="9"/>
    <s v="West Coast"/>
    <x v="0"/>
    <x v="1"/>
    <n v="1194"/>
    <n v="30.02"/>
    <n v="40"/>
    <n v="21"/>
    <b v="1"/>
    <b v="1"/>
  </r>
  <r>
    <x v="8"/>
    <n v="9"/>
    <s v="West Coast"/>
    <x v="0"/>
    <x v="2"/>
    <n v="1176"/>
    <n v="30.02"/>
    <n v="40"/>
    <n v="21"/>
    <b v="1"/>
    <b v="1"/>
  </r>
  <r>
    <x v="8"/>
    <n v="9"/>
    <s v="West Coast"/>
    <x v="1"/>
    <x v="0"/>
    <n v="365"/>
    <n v="30.02"/>
    <n v="13"/>
    <n v="3"/>
    <b v="1"/>
    <b v="1"/>
  </r>
  <r>
    <x v="8"/>
    <n v="9"/>
    <s v="West Coast"/>
    <x v="1"/>
    <x v="1"/>
    <n v="364"/>
    <n v="30.02"/>
    <n v="13"/>
    <n v="3"/>
    <b v="1"/>
    <b v="1"/>
  </r>
  <r>
    <x v="8"/>
    <n v="9"/>
    <s v="West Coast"/>
    <x v="1"/>
    <x v="2"/>
    <n v="343"/>
    <n v="30.02"/>
    <n v="12"/>
    <n v="3"/>
    <b v="1"/>
    <b v="1"/>
  </r>
  <r>
    <x v="8"/>
    <n v="9"/>
    <s v="West Coast"/>
    <x v="2"/>
    <x v="0"/>
    <n v="527"/>
    <n v="30.02"/>
    <n v="18"/>
    <n v="6"/>
    <b v="1"/>
    <b v="1"/>
  </r>
  <r>
    <x v="8"/>
    <n v="9"/>
    <s v="West Coast"/>
    <x v="2"/>
    <x v="1"/>
    <n v="525"/>
    <n v="30.02"/>
    <n v="18"/>
    <n v="6"/>
    <b v="1"/>
    <b v="1"/>
  </r>
  <r>
    <x v="8"/>
    <n v="9"/>
    <s v="West Coast"/>
    <x v="2"/>
    <x v="2"/>
    <n v="558"/>
    <n v="30.02"/>
    <n v="19"/>
    <n v="6"/>
    <b v="1"/>
    <b v="1"/>
  </r>
  <r>
    <x v="8"/>
    <n v="9"/>
    <s v="West Coast"/>
    <x v="3"/>
    <x v="0"/>
    <n v="1432"/>
    <n v="30.02"/>
    <n v="48"/>
    <n v="11"/>
    <b v="0"/>
    <b v="1"/>
  </r>
  <r>
    <x v="8"/>
    <n v="9"/>
    <s v="West Coast"/>
    <x v="3"/>
    <x v="1"/>
    <n v="1392"/>
    <n v="30.02"/>
    <n v="47"/>
    <n v="11"/>
    <b v="0"/>
    <b v="1"/>
  </r>
  <r>
    <x v="8"/>
    <n v="9"/>
    <s v="West Coast"/>
    <x v="3"/>
    <x v="2"/>
    <n v="1452"/>
    <n v="30.02"/>
    <n v="49"/>
    <n v="11"/>
    <b v="0"/>
    <b v="1"/>
  </r>
  <r>
    <x v="8"/>
    <n v="9"/>
    <s v="West Coast"/>
    <x v="4"/>
    <x v="0"/>
    <n v="956"/>
    <n v="30.02"/>
    <n v="32"/>
    <n v="16"/>
    <b v="0"/>
    <b v="1"/>
  </r>
  <r>
    <x v="8"/>
    <n v="9"/>
    <s v="West Coast"/>
    <x v="4"/>
    <x v="1"/>
    <n v="972"/>
    <n v="30.02"/>
    <n v="33"/>
    <n v="16"/>
    <b v="0"/>
    <b v="1"/>
  </r>
  <r>
    <x v="8"/>
    <n v="9"/>
    <s v="West Coast"/>
    <x v="4"/>
    <x v="2"/>
    <n v="986"/>
    <n v="30.02"/>
    <n v="33"/>
    <n v="16"/>
    <b v="0"/>
    <b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C48D9BB-F3B9-4ACD-857C-C82A1C7B0997}" name="PivotTable1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M15" firstHeaderRow="1" firstDataRow="3" firstDataCol="1" rowPageCount="1" colPageCount="1"/>
  <pivotFields count="11"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showAll="0"/>
    <pivotField axis="axisCol" showAll="0">
      <items count="6">
        <item x="0"/>
        <item x="1"/>
        <item x="2"/>
        <item x="3"/>
        <item x="4"/>
        <item t="default"/>
      </items>
    </pivotField>
    <pivotField axis="axisPage" multipleItemSelectionAllowed="1" showAll="0">
      <items count="4">
        <item h="1" x="0"/>
        <item h="1" x="1"/>
        <item x="2"/>
        <item t="default"/>
      </items>
    </pivotField>
    <pivotField showAll="0"/>
    <pivotField numFmtId="2" showAll="0"/>
    <pivotField dataField="1" showAll="0"/>
    <pivotField dataField="1" showAll="0"/>
    <pivotField showAll="0"/>
    <pivotField showAl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2">
    <field x="3"/>
    <field x="-2"/>
  </colFields>
  <colItems count="12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 t="grand">
      <x/>
    </i>
    <i t="grand" i="1">
      <x/>
    </i>
  </colItems>
  <pageFields count="1">
    <pageField fld="4" hier="-1"/>
  </pageFields>
  <dataFields count="2">
    <dataField name="Sum of # Teachers" fld="7" baseField="0" baseItem="2"/>
    <dataField name="Sum of # of schools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FE291AD-C835-430F-907F-43FF5C7CEAD0}" name="PivotTable1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G14" firstHeaderRow="1" firstDataRow="2" firstDataCol="1"/>
  <pivotFields count="11"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showAll="0"/>
    <pivotField axis="axisCol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dataField="1" numFmtId="2" showAll="0"/>
    <pivotField showAll="0"/>
    <pivotField showAll="0"/>
    <pivotField showAll="0"/>
    <pivotField showAl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3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Average of LE ratio" fld="6" subtotal="average" baseField="0" baseItem="0" numFmtId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hyperlink" Target="https://view.officeapps.live.com/op/view.aspx?src=https%3A%2F%2Fwww.treasury.gov.za%2Fdocuments%2Fnational%2520budget%2F2024%2F2024%2520Division%2520of%2520Revenue%2520Bill%2520Schedules%2520in%2520Excel%2520format.xlsx&amp;wdOrigin=BROWSELINK" TargetMode="Externa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B9CEC-DECC-4624-816C-92F84B4933CE}">
  <sheetPr>
    <tabColor rgb="FF7030A0"/>
  </sheetPr>
  <dimension ref="B1:O50"/>
  <sheetViews>
    <sheetView showGridLines="0" topLeftCell="C1" zoomScale="54" zoomScaleNormal="70" workbookViewId="0">
      <selection activeCell="H1" sqref="H1:H1048576"/>
    </sheetView>
  </sheetViews>
  <sheetFormatPr defaultRowHeight="14.4" x14ac:dyDescent="0.3"/>
  <cols>
    <col min="1" max="1" width="3.33203125" customWidth="1"/>
    <col min="2" max="2" width="83.5546875" bestFit="1" customWidth="1"/>
    <col min="3" max="12" width="24.6640625" customWidth="1"/>
    <col min="16" max="16" width="45" customWidth="1"/>
    <col min="17" max="17" width="17" customWidth="1"/>
    <col min="18" max="21" width="15.6640625" customWidth="1"/>
  </cols>
  <sheetData>
    <row r="1" spans="2:15" ht="10.199999999999999" customHeight="1" x14ac:dyDescent="0.3"/>
    <row r="2" spans="2:15" x14ac:dyDescent="0.3">
      <c r="B2" s="121"/>
      <c r="C2" s="113" t="s">
        <v>0</v>
      </c>
      <c r="D2" s="113" t="s">
        <v>1</v>
      </c>
      <c r="E2" s="113" t="s">
        <v>2</v>
      </c>
      <c r="F2" s="113" t="s">
        <v>3</v>
      </c>
      <c r="G2" s="113" t="s">
        <v>4</v>
      </c>
      <c r="H2" s="113" t="s">
        <v>5</v>
      </c>
      <c r="I2" s="113" t="s">
        <v>6</v>
      </c>
      <c r="J2" s="113" t="s">
        <v>7</v>
      </c>
      <c r="K2" s="113" t="s">
        <v>8</v>
      </c>
      <c r="L2" s="113" t="s">
        <v>9</v>
      </c>
    </row>
    <row r="3" spans="2:15" ht="45" customHeight="1" x14ac:dyDescent="0.3">
      <c r="B3" s="122" t="s">
        <v>10</v>
      </c>
      <c r="C3" s="98" t="str">
        <f>Assumptions!C$3</f>
        <v>Base Programme (HL Only)</v>
      </c>
      <c r="D3" s="118" t="str">
        <f>Assumptions!D$3</f>
        <v>In-person Coaching (External), HL Only, Physical LPs</v>
      </c>
      <c r="E3" s="118" t="str">
        <f>Assumptions!E$3</f>
        <v>Virtual Coaching (External), HL Only, Physical LPs</v>
      </c>
      <c r="F3" s="118" t="str">
        <f>Assumptions!F$3</f>
        <v>DH Coaching (Internal), HL Only, Physical LPs</v>
      </c>
      <c r="G3" s="118" t="str">
        <f>Assumptions!G$3</f>
        <v>Base Programme (HL + EFAL)</v>
      </c>
      <c r="H3" s="118" t="str">
        <f>Assumptions!H$3</f>
        <v>In-person Coaching (External), HL + EFAL, Physical LPs</v>
      </c>
      <c r="I3" s="118" t="str">
        <f>Assumptions!I$3</f>
        <v>Virtual Coaching (External), HL + EFAL, Physical LPs</v>
      </c>
      <c r="J3" s="118" t="str">
        <f>Assumptions!J$3</f>
        <v>DH Coaching (Internal), HL + EFAL, Physical LPs</v>
      </c>
      <c r="K3" s="118" t="str">
        <f>Assumptions!K$3</f>
        <v>Base Programme (HL Only), Tablets</v>
      </c>
      <c r="L3" s="118" t="str">
        <f>Assumptions!L$3</f>
        <v>Base Programme (HL + EFAL), Tablets</v>
      </c>
    </row>
    <row r="4" spans="2:15" s="117" customFormat="1" ht="99.75" customHeight="1" x14ac:dyDescent="0.3">
      <c r="B4" s="120" t="s">
        <v>11</v>
      </c>
      <c r="C4" s="119" t="str">
        <f>Assumptions!C$4</f>
        <v xml:space="preserve">Provision of structured, sequenced, lesson plans on tablet and additional LTSM in the HL with quarterly teacher training </v>
      </c>
      <c r="D4" s="119" t="str">
        <f>Assumptions!D$4</f>
        <v>Provision of structured, sequenced, lesson plans and additional LTSM in the HL only with quarterly teacher training and monthly in-person coaching support</v>
      </c>
      <c r="E4" s="119" t="str">
        <f>Assumptions!E$4</f>
        <v>Provision of structured, sequenced, lesson plans and additional LTSM in the HL only with quarterly teacher training and monthly virtual coaching support</v>
      </c>
      <c r="F4" s="119" t="str">
        <f>Assumptions!F$4</f>
        <v>Provision of structured, sequenced, lesson plans and additional LTSM in the HL only with quarterly teacher training and external coaching of DHs who support and coach teachers</v>
      </c>
      <c r="G4" s="119" t="str">
        <f>Assumptions!G$4</f>
        <v>Provision of structured, sequenced, lesson plans and additional LTSM in the HL and EFAL with quarterly teacher training</v>
      </c>
      <c r="H4" s="119" t="str">
        <f>Assumptions!H$4</f>
        <v>Provision of structured, sequenced, lesson plans and additional LTSM in the HL and EFAL with quarterly teacher training and monthly in-person coaching support</v>
      </c>
      <c r="I4" s="119" t="str">
        <f>Assumptions!I$4</f>
        <v>Provision of structured, sequenced, lesson plans and additional LTSM in the HL and EFAL with quarterly teacher training and monthly virtual coaching support</v>
      </c>
      <c r="J4" s="119" t="str">
        <f>Assumptions!J$4</f>
        <v>Provision of structured, sequenced, lesson plans and additional LTSM in the HL and EFAL with quarterly teacher training and external coaching of DHs who support and coach teachers</v>
      </c>
      <c r="K4" s="119" t="str">
        <f>Assumptions!K$4</f>
        <v xml:space="preserve">Provision of structured, sequenced, lesson plans on tablet and additional LTSM in the HL with quarterly teacher training </v>
      </c>
      <c r="L4" s="119" t="str">
        <f>Assumptions!L$4</f>
        <v xml:space="preserve">Provision of structured, sequenced, lesson plans on tablets and additional LTSM in the HL and EFAL with quarterly teacher training </v>
      </c>
    </row>
    <row r="5" spans="2:15" x14ac:dyDescent="0.3">
      <c r="B5" s="90" t="s">
        <v>12</v>
      </c>
      <c r="C5" s="91">
        <f>PerTeacherCost_1!$E115</f>
        <v>5274.4093333333331</v>
      </c>
      <c r="D5" s="91">
        <f>PerTeacherCost_2!$E115</f>
        <v>17062.981253333332</v>
      </c>
      <c r="E5" s="91">
        <f>PerTeacherCost_3!$E115</f>
        <v>11522.063885333333</v>
      </c>
      <c r="F5" s="91">
        <f>PerTeacherCost_4!$E115</f>
        <v>11763.570872380951</v>
      </c>
      <c r="G5" s="91">
        <f>PerTeacherCost_5!$E115</f>
        <v>14023.032333333333</v>
      </c>
      <c r="H5" s="91">
        <f>PerTeacherCost_6!$E115</f>
        <v>25567.668253333333</v>
      </c>
      <c r="I5" s="91">
        <f>PerTeacherCost_7!$E115</f>
        <v>20026.750885333331</v>
      </c>
      <c r="J5" s="91">
        <f>PerTeacherCost_8!$E115</f>
        <v>20268.257872380953</v>
      </c>
      <c r="K5" s="91">
        <f>PerTeacherCost_9!$E115</f>
        <v>7537.0093333333325</v>
      </c>
      <c r="L5" s="91">
        <f>PerTeacherCost_10!$E115</f>
        <v>16111.857333333333</v>
      </c>
      <c r="O5" s="52"/>
    </row>
    <row r="6" spans="2:15" x14ac:dyDescent="0.3">
      <c r="B6" s="90" t="s">
        <v>13</v>
      </c>
      <c r="C6" s="91">
        <f>PerTeacherCost_1!$E116</f>
        <v>150.69740952380951</v>
      </c>
      <c r="D6" s="91">
        <f>PerTeacherCost_2!$E116</f>
        <v>487.51375009523804</v>
      </c>
      <c r="E6" s="91">
        <f>PerTeacherCost_3!$E116</f>
        <v>329.20182529523811</v>
      </c>
      <c r="F6" s="91">
        <f>PerTeacherCost_4!$E116</f>
        <v>336.10202492517004</v>
      </c>
      <c r="G6" s="91">
        <f>PerTeacherCost_5!$E116</f>
        <v>400.65806666666663</v>
      </c>
      <c r="H6" s="91">
        <f>PerTeacherCost_6!$E116</f>
        <v>730.50480723809528</v>
      </c>
      <c r="I6" s="91">
        <f>PerTeacherCost_7!$E116</f>
        <v>572.19288243809513</v>
      </c>
      <c r="J6" s="91">
        <f>PerTeacherCost_8!$E116</f>
        <v>579.09308206802723</v>
      </c>
      <c r="K6" s="91">
        <f>PerTeacherCost_9!$E116</f>
        <v>215.34312380952377</v>
      </c>
      <c r="L6" s="91">
        <f>PerTeacherCost_10!$E116</f>
        <v>460.33878095238094</v>
      </c>
    </row>
    <row r="7" spans="2:15" x14ac:dyDescent="0.3">
      <c r="B7" s="83"/>
      <c r="C7" s="88"/>
      <c r="D7" s="88"/>
      <c r="E7" s="88"/>
      <c r="F7" s="88"/>
      <c r="G7" s="88"/>
      <c r="H7" s="88"/>
      <c r="I7" s="88"/>
      <c r="J7" s="88"/>
      <c r="K7" s="88"/>
      <c r="L7" s="88"/>
    </row>
    <row r="8" spans="2:15" x14ac:dyDescent="0.3">
      <c r="B8" s="87" t="s">
        <v>14</v>
      </c>
      <c r="C8" s="92">
        <f>PerTeacherCost_1!$E101</f>
        <v>71.046984126984128</v>
      </c>
      <c r="D8" s="92">
        <f>PerTeacherCost_2!$E101</f>
        <v>71.046984126984128</v>
      </c>
      <c r="E8" s="92">
        <f>PerTeacherCost_3!$E101</f>
        <v>71.046984126984128</v>
      </c>
      <c r="F8" s="92">
        <f>PerTeacherCost_4!$E101</f>
        <v>71.046984126984128</v>
      </c>
      <c r="G8" s="92">
        <f>PerTeacherCost_5!$E101</f>
        <v>110.30888888888889</v>
      </c>
      <c r="H8" s="92">
        <f>PerTeacherCost_6!$E101</f>
        <v>110.30888888888889</v>
      </c>
      <c r="I8" s="92">
        <f>PerTeacherCost_7!$E101</f>
        <v>110.30888888888889</v>
      </c>
      <c r="J8" s="92">
        <f>PerTeacherCost_8!$E101</f>
        <v>110.30888888888889</v>
      </c>
      <c r="K8" s="92">
        <f>PerTeacherCost_9!$E101</f>
        <v>213.90412698412698</v>
      </c>
      <c r="L8" s="92">
        <f>PerTeacherCost_10!$E101</f>
        <v>253.16603174603173</v>
      </c>
    </row>
    <row r="9" spans="2:15" x14ac:dyDescent="0.3">
      <c r="B9" s="87" t="s">
        <v>15</v>
      </c>
      <c r="C9" s="92">
        <f>PerTeacherCost_1!$E103</f>
        <v>1060</v>
      </c>
      <c r="D9" s="92">
        <f>PerTeacherCost_2!$E103</f>
        <v>1060</v>
      </c>
      <c r="E9" s="92">
        <f>PerTeacherCost_3!$E103</f>
        <v>1060</v>
      </c>
      <c r="F9" s="92">
        <f>PerTeacherCost_4!$E103</f>
        <v>1060</v>
      </c>
      <c r="G9" s="92">
        <f>PerTeacherCost_5!$E103</f>
        <v>1631</v>
      </c>
      <c r="H9" s="92">
        <f>PerTeacherCost_6!$E103</f>
        <v>1631</v>
      </c>
      <c r="I9" s="92">
        <f>PerTeacherCost_7!$E103</f>
        <v>1631</v>
      </c>
      <c r="J9" s="92">
        <f>PerTeacherCost_8!$E103</f>
        <v>1631</v>
      </c>
      <c r="K9" s="92">
        <f>PerTeacherCost_9!$E103</f>
        <v>3072</v>
      </c>
      <c r="L9" s="92">
        <f>PerTeacherCost_10!$E103</f>
        <v>3477.5</v>
      </c>
    </row>
    <row r="10" spans="2:15" x14ac:dyDescent="0.3">
      <c r="B10" s="87" t="s">
        <v>16</v>
      </c>
      <c r="C10" s="92">
        <f>PerTeacherCost_1!$E105</f>
        <v>3892.2</v>
      </c>
      <c r="D10" s="92">
        <f>PerTeacherCost_2!$E105</f>
        <v>3601.8</v>
      </c>
      <c r="E10" s="92">
        <f>PerTeacherCost_3!$E105</f>
        <v>3601.8</v>
      </c>
      <c r="F10" s="92">
        <f>PerTeacherCost_4!$E105</f>
        <v>3601.8</v>
      </c>
      <c r="G10" s="92">
        <f>PerTeacherCost_5!$E105</f>
        <v>11613.96</v>
      </c>
      <c r="H10" s="92">
        <f>PerTeacherCost_6!$E105</f>
        <v>11091.24</v>
      </c>
      <c r="I10" s="92">
        <f>PerTeacherCost_7!$E105</f>
        <v>11091.24</v>
      </c>
      <c r="J10" s="92">
        <f>PerTeacherCost_8!$E105</f>
        <v>11091.24</v>
      </c>
      <c r="K10" s="92">
        <f>PerTeacherCost_9!$E105</f>
        <v>3892.2</v>
      </c>
      <c r="L10" s="92">
        <f>PerTeacherCost_10!$E105</f>
        <v>11613.96</v>
      </c>
    </row>
    <row r="11" spans="2:15" x14ac:dyDescent="0.3">
      <c r="B11" s="87" t="s">
        <v>17</v>
      </c>
      <c r="C11" s="92">
        <f>PerTeacherCost_1!$E108</f>
        <v>0</v>
      </c>
      <c r="D11" s="92">
        <f>PerTeacherCost_2!$E108</f>
        <v>11517.611352380951</v>
      </c>
      <c r="E11" s="92">
        <f>PerTeacherCost_3!$E108</f>
        <v>6240.5471923809528</v>
      </c>
      <c r="F11" s="92">
        <f>PerTeacherCost_4!$E108</f>
        <v>0</v>
      </c>
      <c r="G11" s="92">
        <f>PerTeacherCost_5!$E108</f>
        <v>0</v>
      </c>
      <c r="H11" s="92">
        <f>PerTeacherCost_6!$E108</f>
        <v>11517.611352380951</v>
      </c>
      <c r="I11" s="92">
        <f>PerTeacherCost_7!$E108</f>
        <v>6240.5471923809528</v>
      </c>
      <c r="J11" s="92">
        <f>PerTeacherCost_8!$E108</f>
        <v>0</v>
      </c>
      <c r="K11" s="92">
        <f>PerTeacherCost_9!$E108</f>
        <v>0</v>
      </c>
      <c r="L11" s="92">
        <f>PerTeacherCost_10!$E108</f>
        <v>0</v>
      </c>
    </row>
    <row r="12" spans="2:15" x14ac:dyDescent="0.3">
      <c r="B12" s="87" t="s">
        <v>18</v>
      </c>
      <c r="C12" s="92">
        <f>PerTeacherCost_1!$E111</f>
        <v>0</v>
      </c>
      <c r="D12" s="92">
        <f>PerTeacherCost_2!$E111</f>
        <v>0</v>
      </c>
      <c r="E12" s="92">
        <f>PerTeacherCost_3!$E111</f>
        <v>0</v>
      </c>
      <c r="F12" s="92">
        <f>PerTeacherCost_4!$E111</f>
        <v>6794.0815390476173</v>
      </c>
      <c r="G12" s="92">
        <f>PerTeacherCost_5!$E111</f>
        <v>0</v>
      </c>
      <c r="H12" s="92">
        <f>PerTeacherCost_6!$E111</f>
        <v>0</v>
      </c>
      <c r="I12" s="92">
        <f>PerTeacherCost_7!$E111</f>
        <v>0</v>
      </c>
      <c r="J12" s="92">
        <f>PerTeacherCost_8!$E111</f>
        <v>6794.0815390476173</v>
      </c>
      <c r="K12" s="92">
        <f>PerTeacherCost_9!$E111</f>
        <v>0</v>
      </c>
      <c r="L12" s="92">
        <f>PerTeacherCost_10!$E111</f>
        <v>0</v>
      </c>
    </row>
    <row r="13" spans="2:15" x14ac:dyDescent="0.3">
      <c r="B13" s="87" t="s">
        <v>19</v>
      </c>
      <c r="C13" s="92">
        <f>PerTeacherCost_1!$E113</f>
        <v>251.16234920634921</v>
      </c>
      <c r="D13" s="92">
        <f>PerTeacherCost_2!$E113</f>
        <v>812.52291682539681</v>
      </c>
      <c r="E13" s="92">
        <f>PerTeacherCost_3!$E113</f>
        <v>548.66970882539681</v>
      </c>
      <c r="F13" s="92">
        <f>PerTeacherCost_4!$E113</f>
        <v>236.64234920634922</v>
      </c>
      <c r="G13" s="92">
        <f>PerTeacherCost_5!$E113</f>
        <v>667.76344444444442</v>
      </c>
      <c r="H13" s="92">
        <f>PerTeacherCost_6!$E113</f>
        <v>1217.5080120634921</v>
      </c>
      <c r="I13" s="92">
        <f>PerTeacherCost_7!$E113</f>
        <v>953.65480406349207</v>
      </c>
      <c r="J13" s="92">
        <f>PerTeacherCost_8!$E113</f>
        <v>641.62744444444445</v>
      </c>
      <c r="K13" s="92">
        <f>PerTeacherCost_9!$E113</f>
        <v>358.90520634920631</v>
      </c>
      <c r="L13" s="92">
        <f>PerTeacherCost_10!$E113</f>
        <v>767.23130158730157</v>
      </c>
    </row>
    <row r="14" spans="2:15" x14ac:dyDescent="0.3">
      <c r="B14" s="82"/>
      <c r="C14" s="89"/>
      <c r="D14" s="89"/>
      <c r="E14" s="89"/>
      <c r="F14" s="89"/>
      <c r="G14" s="89"/>
      <c r="H14" s="89"/>
      <c r="I14" s="89"/>
      <c r="J14" s="89"/>
      <c r="K14" s="89"/>
      <c r="L14" s="89"/>
    </row>
    <row r="15" spans="2:15" x14ac:dyDescent="0.3">
      <c r="B15" s="90" t="s">
        <v>20</v>
      </c>
      <c r="C15" s="180">
        <f>PerTeacherCost_1!$E117</f>
        <v>285.10320720720722</v>
      </c>
      <c r="D15" s="180">
        <f>PerTeacherCost_2!$E117</f>
        <v>922.32331099099088</v>
      </c>
      <c r="E15" s="180">
        <f>PerTeacherCost_3!$E117</f>
        <v>622.81426407207209</v>
      </c>
      <c r="F15" s="180">
        <f>PerTeacherCost_4!$E117</f>
        <v>635.86869580437576</v>
      </c>
      <c r="G15" s="180">
        <f>PerTeacherCost_5!$E117</f>
        <v>758.00174774774769</v>
      </c>
      <c r="H15" s="180">
        <f>PerTeacherCost_6!$E117</f>
        <v>1382.0361218018018</v>
      </c>
      <c r="I15" s="180">
        <f>PerTeacherCost_7!$E117</f>
        <v>1082.5270748828827</v>
      </c>
      <c r="J15" s="180">
        <f>PerTeacherCost_8!$E117</f>
        <v>1095.5815066151868</v>
      </c>
      <c r="K15" s="180">
        <f>PerTeacherCost_9!$E117</f>
        <v>407.40590990990984</v>
      </c>
      <c r="L15" s="180">
        <f>PerTeacherCost_10!$E117</f>
        <v>870.91120720720721</v>
      </c>
    </row>
    <row r="16" spans="2:15" x14ac:dyDescent="0.3">
      <c r="B16" s="90" t="s">
        <v>21</v>
      </c>
      <c r="C16" s="180">
        <f>PerTeacherCost_1!$E118</f>
        <v>8.1458059202059214</v>
      </c>
      <c r="D16" s="180">
        <f>PerTeacherCost_2!$E118</f>
        <v>26.352094599742596</v>
      </c>
      <c r="E16" s="180">
        <f>PerTeacherCost_3!$E118</f>
        <v>17.794693259202059</v>
      </c>
      <c r="F16" s="180">
        <f>PerTeacherCost_4!$E118</f>
        <v>18.167677022982165</v>
      </c>
      <c r="G16" s="180">
        <f>PerTeacherCost_5!$E118</f>
        <v>21.657192792792792</v>
      </c>
      <c r="H16" s="180">
        <f>PerTeacherCost_6!$E118</f>
        <v>39.486746337194333</v>
      </c>
      <c r="I16" s="180">
        <f>PerTeacherCost_7!$E118</f>
        <v>30.929344996653793</v>
      </c>
      <c r="J16" s="180">
        <f>PerTeacherCost_8!$E118</f>
        <v>31.302328760433909</v>
      </c>
      <c r="K16" s="180">
        <f>PerTeacherCost_9!$E118</f>
        <v>11.640168854568852</v>
      </c>
      <c r="L16" s="180">
        <f>PerTeacherCost_10!$E118</f>
        <v>24.883177348777348</v>
      </c>
    </row>
    <row r="17" spans="2:12" x14ac:dyDescent="0.3">
      <c r="B17" s="155"/>
      <c r="C17" s="157"/>
      <c r="D17" s="157"/>
      <c r="E17" s="157"/>
      <c r="F17" s="157"/>
      <c r="G17" s="157"/>
      <c r="H17" s="157"/>
      <c r="I17" s="157"/>
      <c r="J17" s="157"/>
      <c r="K17" s="157"/>
      <c r="L17" s="157"/>
    </row>
    <row r="18" spans="2:12" x14ac:dyDescent="0.3">
      <c r="B18" s="172"/>
      <c r="C18" s="173"/>
      <c r="D18" s="173"/>
      <c r="E18" s="173"/>
      <c r="F18" s="173"/>
      <c r="G18" s="173"/>
      <c r="H18" s="173"/>
      <c r="I18" s="173"/>
      <c r="J18" s="173"/>
      <c r="K18" s="173"/>
      <c r="L18" s="173"/>
    </row>
    <row r="19" spans="2:12" x14ac:dyDescent="0.3">
      <c r="B19" s="21" t="s">
        <v>22</v>
      </c>
      <c r="C19" s="166">
        <f>Assumptions!$C23</f>
        <v>18.5</v>
      </c>
      <c r="D19" s="166">
        <f>Assumptions!$D23</f>
        <v>18.5</v>
      </c>
      <c r="E19" s="166">
        <f>Assumptions!$E23</f>
        <v>18.5</v>
      </c>
      <c r="F19" s="166">
        <f>Assumptions!$F23</f>
        <v>18.5</v>
      </c>
      <c r="G19" s="166">
        <f>Assumptions!$G23</f>
        <v>18.5</v>
      </c>
      <c r="H19" s="166">
        <f>Assumptions!$H23</f>
        <v>18.5</v>
      </c>
      <c r="I19" s="166">
        <f>Assumptions!$I23</f>
        <v>18.5</v>
      </c>
      <c r="J19" s="166">
        <f>Assumptions!$J23</f>
        <v>18.5</v>
      </c>
      <c r="K19" s="166">
        <f>Assumptions!$K23</f>
        <v>18.5</v>
      </c>
      <c r="L19" s="166">
        <f>Assumptions!$L23</f>
        <v>18.5</v>
      </c>
    </row>
    <row r="20" spans="2:12" x14ac:dyDescent="0.3">
      <c r="B20" s="83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12" x14ac:dyDescent="0.3">
      <c r="B21" s="61" t="s">
        <v>23</v>
      </c>
      <c r="C21" s="167" t="str">
        <f>Assumptions!$C10</f>
        <v>Home Language</v>
      </c>
      <c r="D21" s="167" t="str">
        <f>Assumptions!$D10</f>
        <v>Home Language</v>
      </c>
      <c r="E21" s="167" t="str">
        <f>Assumptions!$E10</f>
        <v>Home Language</v>
      </c>
      <c r="F21" s="167" t="str">
        <f>Assumptions!$F10</f>
        <v>Home Language</v>
      </c>
      <c r="G21" s="167" t="str">
        <f>Assumptions!$G10</f>
        <v>HL &amp; EFAL</v>
      </c>
      <c r="H21" s="167" t="str">
        <f>Assumptions!$H10</f>
        <v>HL &amp; EFAL</v>
      </c>
      <c r="I21" s="167" t="str">
        <f>Assumptions!$I10</f>
        <v>HL &amp; EFAL</v>
      </c>
      <c r="J21" s="167" t="str">
        <f>Assumptions!$J10</f>
        <v>HL &amp; EFAL</v>
      </c>
      <c r="K21" s="167" t="str">
        <f>Assumptions!$K10</f>
        <v>Home Language</v>
      </c>
      <c r="L21" s="167" t="str">
        <f>Assumptions!$L10</f>
        <v>HL &amp; EFAL</v>
      </c>
    </row>
    <row r="22" spans="2:12" x14ac:dyDescent="0.3">
      <c r="B22" s="65" t="s">
        <v>24</v>
      </c>
      <c r="C22" s="167" t="str">
        <f>Assumptions!$C11</f>
        <v>No</v>
      </c>
      <c r="D22" s="167" t="str">
        <f>Assumptions!$D11</f>
        <v>Yes</v>
      </c>
      <c r="E22" s="167" t="str">
        <f>Assumptions!$E11</f>
        <v>Yes</v>
      </c>
      <c r="F22" s="167" t="str">
        <f>Assumptions!$F11</f>
        <v>Yes</v>
      </c>
      <c r="G22" s="167" t="str">
        <f>Assumptions!$G11</f>
        <v>No</v>
      </c>
      <c r="H22" s="167" t="str">
        <f>Assumptions!$H11</f>
        <v>Yes</v>
      </c>
      <c r="I22" s="167" t="str">
        <f>Assumptions!$I11</f>
        <v>Yes</v>
      </c>
      <c r="J22" s="167" t="str">
        <f>Assumptions!$J11</f>
        <v>Yes</v>
      </c>
      <c r="K22" s="167" t="str">
        <f>Assumptions!$K11</f>
        <v>No</v>
      </c>
      <c r="L22" s="167" t="str">
        <f>Assumptions!$L11</f>
        <v>No</v>
      </c>
    </row>
    <row r="23" spans="2:12" x14ac:dyDescent="0.3">
      <c r="B23" s="67" t="s">
        <v>25</v>
      </c>
      <c r="C23" s="168" t="str">
        <f>Assumptions!$C12</f>
        <v>On-site (External)</v>
      </c>
      <c r="D23" s="168" t="str">
        <f>Assumptions!$D12</f>
        <v>On-site (External)</v>
      </c>
      <c r="E23" s="168" t="str">
        <f>Assumptions!$E12</f>
        <v>Virtual (External)</v>
      </c>
      <c r="F23" s="168" t="str">
        <f>Assumptions!$F12</f>
        <v>DH on-site (Internal)</v>
      </c>
      <c r="G23" s="168" t="str">
        <f>Assumptions!$G12</f>
        <v>On-site (External)</v>
      </c>
      <c r="H23" s="168" t="str">
        <f>Assumptions!$H12</f>
        <v>On-site (External)</v>
      </c>
      <c r="I23" s="168" t="str">
        <f>Assumptions!$I12</f>
        <v>Virtual (External)</v>
      </c>
      <c r="J23" s="168" t="str">
        <f>Assumptions!$J12</f>
        <v>DH on-site (Internal)</v>
      </c>
      <c r="K23" s="168" t="str">
        <f>Assumptions!$K12</f>
        <v>On-site (External)</v>
      </c>
      <c r="L23" s="168" t="str">
        <f>Assumptions!$L12</f>
        <v>On-site (External)</v>
      </c>
    </row>
    <row r="24" spans="2:12" ht="9.75" customHeight="1" x14ac:dyDescent="0.3">
      <c r="B24" s="67"/>
      <c r="C24" s="168"/>
      <c r="D24" s="168"/>
      <c r="E24" s="168"/>
      <c r="F24" s="168"/>
      <c r="G24" s="168"/>
      <c r="H24" s="168"/>
      <c r="I24" s="168"/>
      <c r="J24" s="168"/>
      <c r="K24" s="168"/>
      <c r="L24" s="168"/>
    </row>
    <row r="25" spans="2:12" x14ac:dyDescent="0.3">
      <c r="B25" s="61" t="s">
        <v>26</v>
      </c>
      <c r="C25" s="169">
        <f>Assumptions!$C14</f>
        <v>175</v>
      </c>
      <c r="D25" s="169">
        <f>Assumptions!$D14</f>
        <v>175</v>
      </c>
      <c r="E25" s="169">
        <f>Assumptions!$E14</f>
        <v>175</v>
      </c>
      <c r="F25" s="169">
        <f>Assumptions!$F14</f>
        <v>175</v>
      </c>
      <c r="G25" s="169">
        <f>Assumptions!$G14</f>
        <v>175</v>
      </c>
      <c r="H25" s="169">
        <f>Assumptions!$H14</f>
        <v>175</v>
      </c>
      <c r="I25" s="169">
        <f>Assumptions!$I14</f>
        <v>175</v>
      </c>
      <c r="J25" s="169">
        <f>Assumptions!$J14</f>
        <v>175</v>
      </c>
      <c r="K25" s="169">
        <f>Assumptions!$K14</f>
        <v>175</v>
      </c>
      <c r="L25" s="169">
        <f>Assumptions!$L14</f>
        <v>175</v>
      </c>
    </row>
    <row r="26" spans="2:12" x14ac:dyDescent="0.3">
      <c r="B26" s="40" t="s">
        <v>27</v>
      </c>
      <c r="C26" s="169">
        <f>Assumptions!$C15</f>
        <v>2</v>
      </c>
      <c r="D26" s="169">
        <f>Assumptions!$D15</f>
        <v>2</v>
      </c>
      <c r="E26" s="169">
        <f>Assumptions!$E15</f>
        <v>2</v>
      </c>
      <c r="F26" s="169">
        <f>Assumptions!$F15</f>
        <v>2</v>
      </c>
      <c r="G26" s="169">
        <f>Assumptions!$G15</f>
        <v>2</v>
      </c>
      <c r="H26" s="169">
        <f>Assumptions!$H15</f>
        <v>2</v>
      </c>
      <c r="I26" s="169">
        <f>Assumptions!$I15</f>
        <v>2</v>
      </c>
      <c r="J26" s="169">
        <f>Assumptions!$J15</f>
        <v>2</v>
      </c>
      <c r="K26" s="169">
        <f>Assumptions!$K15</f>
        <v>2</v>
      </c>
      <c r="L26" s="169">
        <f>Assumptions!$L15</f>
        <v>2</v>
      </c>
    </row>
    <row r="27" spans="2:12" x14ac:dyDescent="0.3">
      <c r="B27" s="48" t="s">
        <v>28</v>
      </c>
      <c r="C27" s="170">
        <f>Assumptions!$C16</f>
        <v>6</v>
      </c>
      <c r="D27" s="170">
        <f>Assumptions!$D16</f>
        <v>6</v>
      </c>
      <c r="E27" s="170">
        <f>Assumptions!$E16</f>
        <v>6</v>
      </c>
      <c r="F27" s="170">
        <f>Assumptions!$F16</f>
        <v>6</v>
      </c>
      <c r="G27" s="170">
        <f>Assumptions!$G16</f>
        <v>6</v>
      </c>
      <c r="H27" s="170">
        <f>Assumptions!$H16</f>
        <v>6</v>
      </c>
      <c r="I27" s="170">
        <f>Assumptions!$I16</f>
        <v>6</v>
      </c>
      <c r="J27" s="170">
        <f>Assumptions!$J16</f>
        <v>6</v>
      </c>
      <c r="K27" s="170">
        <f>Assumptions!$K16</f>
        <v>6</v>
      </c>
      <c r="L27" s="170">
        <f>Assumptions!$L16</f>
        <v>6</v>
      </c>
    </row>
    <row r="28" spans="2:12" x14ac:dyDescent="0.3">
      <c r="B28" s="48" t="s">
        <v>29</v>
      </c>
      <c r="C28" s="169">
        <f>Assumptions!$C17</f>
        <v>60</v>
      </c>
      <c r="D28" s="169">
        <f>Assumptions!$D17</f>
        <v>60</v>
      </c>
      <c r="E28" s="169">
        <f>Assumptions!$E17</f>
        <v>100</v>
      </c>
      <c r="F28" s="169">
        <f>Assumptions!$F17</f>
        <v>1</v>
      </c>
      <c r="G28" s="169">
        <f>Assumptions!$G17</f>
        <v>60</v>
      </c>
      <c r="H28" s="169">
        <f>Assumptions!$H17</f>
        <v>60</v>
      </c>
      <c r="I28" s="169">
        <f>Assumptions!$I17</f>
        <v>100</v>
      </c>
      <c r="J28" s="169">
        <f>Assumptions!$J17</f>
        <v>1</v>
      </c>
      <c r="K28" s="169">
        <f>Assumptions!$K17</f>
        <v>60</v>
      </c>
      <c r="L28" s="169">
        <f>Assumptions!$L17</f>
        <v>60</v>
      </c>
    </row>
    <row r="29" spans="2:12" x14ac:dyDescent="0.3">
      <c r="B29" s="53" t="s">
        <v>30</v>
      </c>
      <c r="C29" s="169">
        <f>Assumptions!$C20</f>
        <v>35</v>
      </c>
      <c r="D29" s="169">
        <f>Assumptions!$D20</f>
        <v>35</v>
      </c>
      <c r="E29" s="169">
        <f>Assumptions!$E20</f>
        <v>35</v>
      </c>
      <c r="F29" s="169">
        <f>Assumptions!$F20</f>
        <v>35</v>
      </c>
      <c r="G29" s="169">
        <f>Assumptions!$G20</f>
        <v>35</v>
      </c>
      <c r="H29" s="169">
        <f>Assumptions!$H20</f>
        <v>35</v>
      </c>
      <c r="I29" s="169">
        <f>Assumptions!$I20</f>
        <v>35</v>
      </c>
      <c r="J29" s="169">
        <f>Assumptions!$J20</f>
        <v>35</v>
      </c>
      <c r="K29" s="169">
        <f>Assumptions!$K20</f>
        <v>35</v>
      </c>
      <c r="L29" s="169">
        <f>Assumptions!$L20</f>
        <v>35</v>
      </c>
    </row>
    <row r="30" spans="2:12" x14ac:dyDescent="0.3">
      <c r="B30" s="21"/>
      <c r="C30" s="171"/>
      <c r="D30" s="171"/>
      <c r="E30" s="171"/>
      <c r="F30" s="171"/>
      <c r="G30" s="171"/>
      <c r="H30" s="171"/>
      <c r="I30" s="171"/>
      <c r="J30" s="171"/>
      <c r="K30" s="171"/>
      <c r="L30" s="171"/>
    </row>
    <row r="31" spans="2:12" x14ac:dyDescent="0.3">
      <c r="B31" s="21" t="s">
        <v>31</v>
      </c>
      <c r="C31" s="171">
        <f>Assumptions!$C22</f>
        <v>0.05</v>
      </c>
      <c r="D31" s="171">
        <f>Assumptions!$D22</f>
        <v>0.05</v>
      </c>
      <c r="E31" s="171">
        <f>Assumptions!$E22</f>
        <v>0.05</v>
      </c>
      <c r="F31" s="171">
        <f>Assumptions!$F22</f>
        <v>0.05</v>
      </c>
      <c r="G31" s="171">
        <f>Assumptions!$G22</f>
        <v>0.05</v>
      </c>
      <c r="H31" s="171">
        <f>Assumptions!$H22</f>
        <v>0.05</v>
      </c>
      <c r="I31" s="171">
        <f>Assumptions!$I22</f>
        <v>0.05</v>
      </c>
      <c r="J31" s="171">
        <f>Assumptions!$J22</f>
        <v>0.05</v>
      </c>
      <c r="K31" s="171">
        <f>Assumptions!$K22</f>
        <v>0.05</v>
      </c>
      <c r="L31" s="171">
        <f>Assumptions!$L22</f>
        <v>0.05</v>
      </c>
    </row>
    <row r="33" spans="2:12" ht="25.2" customHeight="1" x14ac:dyDescent="0.3">
      <c r="B33" s="50" t="s">
        <v>32</v>
      </c>
      <c r="C33" s="50"/>
      <c r="D33" s="50"/>
      <c r="E33" s="50"/>
      <c r="F33" s="50"/>
      <c r="G33" s="50"/>
      <c r="H33" s="50"/>
      <c r="I33" s="50"/>
      <c r="J33" s="50"/>
      <c r="K33" s="50"/>
      <c r="L33" s="50"/>
    </row>
    <row r="34" spans="2:12" x14ac:dyDescent="0.3">
      <c r="B34" s="174" t="s">
        <v>33</v>
      </c>
      <c r="C34" s="175" t="str">
        <f>Assumptions!$C13</f>
        <v>No</v>
      </c>
      <c r="D34" s="175" t="str">
        <f>Assumptions!$D13</f>
        <v>No</v>
      </c>
      <c r="E34" s="175" t="str">
        <f>Assumptions!$E13</f>
        <v>No</v>
      </c>
      <c r="F34" s="175" t="str">
        <f>Assumptions!$F13</f>
        <v>No</v>
      </c>
      <c r="G34" s="175" t="str">
        <f>Assumptions!$G13</f>
        <v>No</v>
      </c>
      <c r="H34" s="175" t="str">
        <f>Assumptions!$H13</f>
        <v>No</v>
      </c>
      <c r="I34" s="175" t="str">
        <f>Assumptions!$I13</f>
        <v>No</v>
      </c>
      <c r="J34" s="175" t="str">
        <f>Assumptions!$J13</f>
        <v>No</v>
      </c>
      <c r="K34" s="175" t="str">
        <f>Assumptions!$K13</f>
        <v>Yes</v>
      </c>
      <c r="L34" s="175" t="str">
        <f>Assumptions!$L13</f>
        <v>Yes</v>
      </c>
    </row>
    <row r="36" spans="2:12" x14ac:dyDescent="0.3">
      <c r="B36" s="38" t="s">
        <v>34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</row>
    <row r="37" spans="2:12" x14ac:dyDescent="0.3">
      <c r="B37" s="40" t="s">
        <v>35</v>
      </c>
      <c r="C37" s="176">
        <v>5</v>
      </c>
      <c r="D37" s="176">
        <v>6</v>
      </c>
      <c r="E37" s="176">
        <v>7</v>
      </c>
      <c r="F37" s="176">
        <v>8</v>
      </c>
      <c r="G37" s="176">
        <v>9</v>
      </c>
      <c r="H37" s="176">
        <v>10</v>
      </c>
      <c r="I37" s="176">
        <v>11</v>
      </c>
      <c r="J37" s="176">
        <v>12</v>
      </c>
      <c r="K37" s="176">
        <v>13</v>
      </c>
      <c r="L37" s="176">
        <v>14</v>
      </c>
    </row>
    <row r="38" spans="2:12" x14ac:dyDescent="0.3">
      <c r="B38" s="53" t="s">
        <v>36</v>
      </c>
      <c r="C38" s="175">
        <f>Assumptions!$C70</f>
        <v>2</v>
      </c>
      <c r="D38" s="175">
        <f>Assumptions!$D70</f>
        <v>2</v>
      </c>
      <c r="E38" s="175">
        <f>Assumptions!$E70</f>
        <v>2</v>
      </c>
      <c r="F38" s="175">
        <f>Assumptions!$F70</f>
        <v>2</v>
      </c>
      <c r="G38" s="175">
        <f>Assumptions!$G70</f>
        <v>2</v>
      </c>
      <c r="H38" s="175">
        <f>Assumptions!$H70</f>
        <v>2</v>
      </c>
      <c r="I38" s="175">
        <f>Assumptions!$I70</f>
        <v>2</v>
      </c>
      <c r="J38" s="175">
        <f>Assumptions!$J70</f>
        <v>2</v>
      </c>
      <c r="K38" s="175">
        <f>Assumptions!$K70</f>
        <v>2</v>
      </c>
      <c r="L38" s="175">
        <f>Assumptions!$L70</f>
        <v>2</v>
      </c>
    </row>
    <row r="40" spans="2:12" x14ac:dyDescent="0.3">
      <c r="B40" s="38" t="s">
        <v>37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</row>
    <row r="41" spans="2:12" x14ac:dyDescent="0.3">
      <c r="B41" s="53" t="s">
        <v>38</v>
      </c>
      <c r="C41" s="177">
        <f>Assumptions!$C74</f>
        <v>20</v>
      </c>
      <c r="D41" s="177">
        <f>Assumptions!$D74</f>
        <v>20</v>
      </c>
      <c r="E41" s="177">
        <f>Assumptions!$E74</f>
        <v>20</v>
      </c>
      <c r="F41" s="177">
        <f>Assumptions!$F74</f>
        <v>20</v>
      </c>
      <c r="G41" s="177">
        <f>Assumptions!$G74</f>
        <v>20</v>
      </c>
      <c r="H41" s="177">
        <f>Assumptions!$H74</f>
        <v>20</v>
      </c>
      <c r="I41" s="177">
        <f>Assumptions!$I74</f>
        <v>20</v>
      </c>
      <c r="J41" s="177">
        <f>Assumptions!$J74</f>
        <v>20</v>
      </c>
      <c r="K41" s="177">
        <f>Assumptions!$K74</f>
        <v>20</v>
      </c>
      <c r="L41" s="177">
        <f>Assumptions!$L74</f>
        <v>20</v>
      </c>
    </row>
    <row r="42" spans="2:12" x14ac:dyDescent="0.3">
      <c r="B42" s="53" t="s">
        <v>39</v>
      </c>
      <c r="C42" s="176">
        <f>Assumptions!$C18</f>
        <v>1</v>
      </c>
      <c r="D42" s="176">
        <f>Assumptions!$D18</f>
        <v>1</v>
      </c>
      <c r="E42" s="176">
        <f>Assumptions!$E18</f>
        <v>1</v>
      </c>
      <c r="F42" s="176">
        <f>Assumptions!$F18</f>
        <v>20</v>
      </c>
      <c r="G42" s="176">
        <f>Assumptions!$G18</f>
        <v>1</v>
      </c>
      <c r="H42" s="176">
        <f>Assumptions!$H18</f>
        <v>1</v>
      </c>
      <c r="I42" s="176">
        <f>Assumptions!$I18</f>
        <v>1</v>
      </c>
      <c r="J42" s="176">
        <f>Assumptions!$J18</f>
        <v>20</v>
      </c>
      <c r="K42" s="176">
        <f>Assumptions!$K18</f>
        <v>1</v>
      </c>
      <c r="L42" s="176">
        <f>Assumptions!$L18</f>
        <v>1</v>
      </c>
    </row>
    <row r="43" spans="2:12" x14ac:dyDescent="0.3">
      <c r="B43" s="53" t="s">
        <v>40</v>
      </c>
      <c r="C43" s="175">
        <f>Assumptions!$C75</f>
        <v>1</v>
      </c>
      <c r="D43" s="175">
        <f>Assumptions!$D75</f>
        <v>1</v>
      </c>
      <c r="E43" s="175">
        <f>Assumptions!$E75</f>
        <v>1</v>
      </c>
      <c r="F43" s="175">
        <f>Assumptions!$F75</f>
        <v>5</v>
      </c>
      <c r="G43" s="175">
        <f>Assumptions!$G75</f>
        <v>1</v>
      </c>
      <c r="H43" s="175">
        <f>Assumptions!$H75</f>
        <v>1</v>
      </c>
      <c r="I43" s="175">
        <f>Assumptions!$I75</f>
        <v>1</v>
      </c>
      <c r="J43" s="175">
        <f>Assumptions!$J75</f>
        <v>5</v>
      </c>
      <c r="K43" s="175">
        <f>Assumptions!$K75</f>
        <v>1</v>
      </c>
      <c r="L43" s="175">
        <f>Assumptions!$L75</f>
        <v>1</v>
      </c>
    </row>
    <row r="45" spans="2:12" x14ac:dyDescent="0.3">
      <c r="B45" s="38" t="s">
        <v>41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</row>
    <row r="46" spans="2:12" x14ac:dyDescent="0.3">
      <c r="B46" s="48" t="s">
        <v>42</v>
      </c>
      <c r="C46" s="176">
        <f>Assumptions!$C78</f>
        <v>0</v>
      </c>
      <c r="D46" s="176">
        <f>Assumptions!$D78</f>
        <v>0</v>
      </c>
      <c r="E46" s="176">
        <f>Assumptions!$E78</f>
        <v>0</v>
      </c>
      <c r="F46" s="176">
        <f>Assumptions!$F78</f>
        <v>40</v>
      </c>
      <c r="G46" s="176">
        <f>Assumptions!$G78</f>
        <v>0</v>
      </c>
      <c r="H46" s="176">
        <f>Assumptions!$H78</f>
        <v>0</v>
      </c>
      <c r="I46" s="176">
        <f>Assumptions!$I78</f>
        <v>0</v>
      </c>
      <c r="J46" s="176">
        <f>Assumptions!$J78</f>
        <v>40</v>
      </c>
      <c r="K46" s="176">
        <f>Assumptions!$K78</f>
        <v>0</v>
      </c>
      <c r="L46" s="176">
        <f>Assumptions!$L78</f>
        <v>0</v>
      </c>
    </row>
    <row r="47" spans="2:12" x14ac:dyDescent="0.3">
      <c r="B47" s="40" t="s">
        <v>43</v>
      </c>
      <c r="C47" s="177">
        <f>Assumptions!$C80</f>
        <v>2</v>
      </c>
      <c r="D47" s="177">
        <f>Assumptions!$D80</f>
        <v>2</v>
      </c>
      <c r="E47" s="177">
        <f>Assumptions!$E80</f>
        <v>2</v>
      </c>
      <c r="F47" s="177">
        <f>Assumptions!$F80</f>
        <v>2</v>
      </c>
      <c r="G47" s="177">
        <f>Assumptions!$G80</f>
        <v>2</v>
      </c>
      <c r="H47" s="177">
        <f>Assumptions!$H80</f>
        <v>2</v>
      </c>
      <c r="I47" s="177">
        <f>Assumptions!$I80</f>
        <v>2</v>
      </c>
      <c r="J47" s="177">
        <f>Assumptions!$J80</f>
        <v>2</v>
      </c>
      <c r="K47" s="177">
        <f>Assumptions!$K80</f>
        <v>2</v>
      </c>
      <c r="L47" s="177">
        <f>Assumptions!$L80</f>
        <v>2</v>
      </c>
    </row>
    <row r="48" spans="2:12" x14ac:dyDescent="0.3">
      <c r="B48" s="53" t="s">
        <v>44</v>
      </c>
      <c r="C48" s="176">
        <f>Assumptions!$C81</f>
        <v>0</v>
      </c>
      <c r="D48" s="176">
        <f>Assumptions!$D81</f>
        <v>0</v>
      </c>
      <c r="E48" s="176">
        <f>Assumptions!$E81</f>
        <v>0</v>
      </c>
      <c r="F48" s="176">
        <f>Assumptions!$F81</f>
        <v>1</v>
      </c>
      <c r="G48" s="176">
        <f>Assumptions!$G81</f>
        <v>0</v>
      </c>
      <c r="H48" s="176">
        <f>Assumptions!$H81</f>
        <v>0</v>
      </c>
      <c r="I48" s="176">
        <f>Assumptions!$I81</f>
        <v>0</v>
      </c>
      <c r="J48" s="176">
        <f>Assumptions!$J81</f>
        <v>1</v>
      </c>
      <c r="K48" s="176">
        <f>Assumptions!$K81</f>
        <v>0</v>
      </c>
      <c r="L48" s="176">
        <f>Assumptions!$L81</f>
        <v>0</v>
      </c>
    </row>
    <row r="49" spans="2:12" x14ac:dyDescent="0.3">
      <c r="B49" s="48" t="s">
        <v>45</v>
      </c>
      <c r="C49" s="177">
        <f>Assumptions!$C82</f>
        <v>0</v>
      </c>
      <c r="D49" s="177">
        <f>Assumptions!$D82</f>
        <v>0</v>
      </c>
      <c r="E49" s="177">
        <f>Assumptions!$E82</f>
        <v>0</v>
      </c>
      <c r="F49" s="177">
        <f>Assumptions!$F82</f>
        <v>1</v>
      </c>
      <c r="G49" s="177">
        <f>Assumptions!$G82</f>
        <v>0</v>
      </c>
      <c r="H49" s="177">
        <f>Assumptions!$H82</f>
        <v>0</v>
      </c>
      <c r="I49" s="177">
        <f>Assumptions!$I82</f>
        <v>0</v>
      </c>
      <c r="J49" s="177">
        <f>Assumptions!$J82</f>
        <v>1</v>
      </c>
      <c r="K49" s="177">
        <f>Assumptions!$K82</f>
        <v>0</v>
      </c>
      <c r="L49" s="177">
        <f>Assumptions!$L82</f>
        <v>0</v>
      </c>
    </row>
    <row r="50" spans="2:12" x14ac:dyDescent="0.3">
      <c r="B50" s="53" t="s">
        <v>46</v>
      </c>
      <c r="C50" s="175">
        <f>Assumptions!$C83</f>
        <v>0</v>
      </c>
      <c r="D50" s="175">
        <f>Assumptions!$D83</f>
        <v>0</v>
      </c>
      <c r="E50" s="175">
        <f>Assumptions!$E83</f>
        <v>0</v>
      </c>
      <c r="F50" s="175">
        <f>Assumptions!$F83</f>
        <v>3</v>
      </c>
      <c r="G50" s="175">
        <f>Assumptions!$G83</f>
        <v>0</v>
      </c>
      <c r="H50" s="175">
        <f>Assumptions!$H83</f>
        <v>0</v>
      </c>
      <c r="I50" s="175">
        <f>Assumptions!$I83</f>
        <v>0</v>
      </c>
      <c r="J50" s="175">
        <f>Assumptions!$J83</f>
        <v>3</v>
      </c>
      <c r="K50" s="175">
        <f>Assumptions!$K83</f>
        <v>0</v>
      </c>
      <c r="L50" s="175">
        <f>Assumptions!$L83</f>
        <v>0</v>
      </c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CCA90-BF25-4636-858C-9D80091E263B}">
  <sheetPr>
    <tabColor rgb="FF9966FF"/>
  </sheetPr>
  <dimension ref="B1:G20"/>
  <sheetViews>
    <sheetView showGridLines="0" tabSelected="1" zoomScale="133" zoomScaleNormal="85" workbookViewId="0">
      <selection activeCell="B2" sqref="B2:E17"/>
    </sheetView>
  </sheetViews>
  <sheetFormatPr defaultRowHeight="14.4" x14ac:dyDescent="0.3"/>
  <cols>
    <col min="1" max="1" width="3.109375" customWidth="1"/>
    <col min="2" max="2" width="29.88671875" style="134" customWidth="1"/>
    <col min="3" max="3" width="11.88671875" customWidth="1"/>
    <col min="4" max="5" width="10.6640625" customWidth="1"/>
  </cols>
  <sheetData>
    <row r="1" spans="2:7" ht="12" customHeight="1" x14ac:dyDescent="0.3">
      <c r="B1" s="135"/>
      <c r="C1" s="136"/>
      <c r="D1" s="136"/>
      <c r="E1" s="136"/>
    </row>
    <row r="2" spans="2:7" x14ac:dyDescent="0.3">
      <c r="B2" s="137"/>
      <c r="C2" s="138" t="s">
        <v>47</v>
      </c>
      <c r="D2" s="183" t="s">
        <v>48</v>
      </c>
      <c r="E2" s="183"/>
    </row>
    <row r="3" spans="2:7" x14ac:dyDescent="0.3">
      <c r="B3" s="139" t="s">
        <v>49</v>
      </c>
      <c r="C3" s="140"/>
      <c r="D3" s="146" t="s">
        <v>50</v>
      </c>
      <c r="E3" s="146" t="s">
        <v>51</v>
      </c>
    </row>
    <row r="4" spans="2:7" x14ac:dyDescent="0.3">
      <c r="B4" s="186" t="s">
        <v>52</v>
      </c>
      <c r="C4" s="141" t="s">
        <v>53</v>
      </c>
      <c r="D4" s="147">
        <f>Outputs!C5</f>
        <v>5274.4093333333331</v>
      </c>
      <c r="E4" s="147">
        <f>Outputs!G5</f>
        <v>14023.032333333333</v>
      </c>
    </row>
    <row r="5" spans="2:7" x14ac:dyDescent="0.3">
      <c r="B5" s="187"/>
      <c r="C5" s="142" t="s">
        <v>54</v>
      </c>
      <c r="D5" s="143">
        <f>Outputs!C6</f>
        <v>150.69740952380951</v>
      </c>
      <c r="E5" s="143">
        <f>Outputs!G6</f>
        <v>400.65806666666663</v>
      </c>
    </row>
    <row r="6" spans="2:7" ht="5.4" customHeight="1" x14ac:dyDescent="0.3">
      <c r="B6" s="179"/>
    </row>
    <row r="7" spans="2:7" x14ac:dyDescent="0.3">
      <c r="B7" s="184" t="s">
        <v>55</v>
      </c>
      <c r="C7" s="141" t="s">
        <v>53</v>
      </c>
      <c r="D7" s="52">
        <f>Outputs!D5</f>
        <v>17062.981253333332</v>
      </c>
      <c r="E7" s="52">
        <f>Outputs!H5</f>
        <v>25567.668253333333</v>
      </c>
    </row>
    <row r="8" spans="2:7" x14ac:dyDescent="0.3">
      <c r="B8" s="185"/>
      <c r="C8" s="142" t="s">
        <v>54</v>
      </c>
      <c r="D8" s="143">
        <f>Outputs!D6</f>
        <v>487.51375009523804</v>
      </c>
      <c r="E8" s="143">
        <f>Outputs!H6</f>
        <v>730.50480723809528</v>
      </c>
    </row>
    <row r="9" spans="2:7" ht="5.4" customHeight="1" x14ac:dyDescent="0.3">
      <c r="B9" s="179"/>
    </row>
    <row r="10" spans="2:7" x14ac:dyDescent="0.3">
      <c r="B10" s="186" t="s">
        <v>56</v>
      </c>
      <c r="C10" s="141" t="s">
        <v>53</v>
      </c>
      <c r="D10" s="52">
        <f>Outputs!E5</f>
        <v>11522.063885333333</v>
      </c>
      <c r="E10" s="52">
        <f>Outputs!I5</f>
        <v>20026.750885333331</v>
      </c>
    </row>
    <row r="11" spans="2:7" x14ac:dyDescent="0.3">
      <c r="B11" s="187"/>
      <c r="C11" s="142" t="s">
        <v>54</v>
      </c>
      <c r="D11" s="143">
        <f>Outputs!E6</f>
        <v>329.20182529523811</v>
      </c>
      <c r="E11" s="143">
        <f>Outputs!I6</f>
        <v>572.19288243809513</v>
      </c>
    </row>
    <row r="12" spans="2:7" ht="5.4" customHeight="1" x14ac:dyDescent="0.3">
      <c r="B12" s="179"/>
    </row>
    <row r="13" spans="2:7" x14ac:dyDescent="0.3">
      <c r="B13" s="186" t="s">
        <v>57</v>
      </c>
      <c r="C13" s="141" t="s">
        <v>53</v>
      </c>
      <c r="D13" s="52">
        <f>Outputs!F5</f>
        <v>11763.570872380951</v>
      </c>
      <c r="E13" s="52">
        <f>Outputs!J5</f>
        <v>20268.257872380953</v>
      </c>
    </row>
    <row r="14" spans="2:7" x14ac:dyDescent="0.3">
      <c r="B14" s="187"/>
      <c r="C14" s="142" t="s">
        <v>54</v>
      </c>
      <c r="D14" s="143">
        <f>Outputs!F6</f>
        <v>336.10202492517004</v>
      </c>
      <c r="E14" s="143">
        <f>Outputs!J6</f>
        <v>579.09308206802723</v>
      </c>
    </row>
    <row r="15" spans="2:7" ht="5.4" customHeight="1" x14ac:dyDescent="0.3">
      <c r="B15" s="179"/>
    </row>
    <row r="16" spans="2:7" x14ac:dyDescent="0.3">
      <c r="B16" s="182" t="s">
        <v>58</v>
      </c>
      <c r="C16" s="144" t="s">
        <v>53</v>
      </c>
      <c r="D16" s="145">
        <f>+Outputs!K5-Outputs!C5</f>
        <v>2262.5999999999995</v>
      </c>
      <c r="E16" s="145">
        <f>Outputs!L5-Outputs!G5</f>
        <v>2088.8250000000007</v>
      </c>
      <c r="G16" s="56"/>
    </row>
    <row r="17" spans="2:7" x14ac:dyDescent="0.3">
      <c r="B17" s="182"/>
      <c r="C17" s="144" t="s">
        <v>54</v>
      </c>
      <c r="D17" s="145">
        <f>Outputs!K6-Outputs!C6</f>
        <v>64.645714285714263</v>
      </c>
      <c r="E17" s="145">
        <f>Outputs!L6-Outputs!G6</f>
        <v>59.680714285714316</v>
      </c>
    </row>
    <row r="20" spans="2:7" x14ac:dyDescent="0.3">
      <c r="D20" s="56"/>
      <c r="E20" s="56"/>
      <c r="F20" s="56"/>
      <c r="G20" s="56"/>
    </row>
  </sheetData>
  <mergeCells count="6">
    <mergeCell ref="B16:B17"/>
    <mergeCell ref="D2:E2"/>
    <mergeCell ref="B7:B8"/>
    <mergeCell ref="B4:B5"/>
    <mergeCell ref="B10:B11"/>
    <mergeCell ref="B13:B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E406E-8E7A-4121-AC85-F7773CB6B489}">
  <sheetPr>
    <tabColor rgb="FF9966FF"/>
  </sheetPr>
  <dimension ref="B2:Q1048575"/>
  <sheetViews>
    <sheetView showGridLines="0" topLeftCell="A4" zoomScale="70" zoomScaleNormal="70" workbookViewId="0">
      <selection activeCell="E33" sqref="E33"/>
    </sheetView>
  </sheetViews>
  <sheetFormatPr defaultRowHeight="14.4" x14ac:dyDescent="0.3"/>
  <cols>
    <col min="1" max="1" width="1.88671875" customWidth="1"/>
    <col min="2" max="2" width="6" customWidth="1"/>
    <col min="3" max="3" width="13.21875" customWidth="1"/>
    <col min="4" max="4" width="22" customWidth="1"/>
    <col min="5" max="14" width="18.44140625" customWidth="1"/>
    <col min="18" max="18" width="45" customWidth="1"/>
    <col min="19" max="19" width="17" customWidth="1"/>
    <col min="20" max="23" width="15.6640625" customWidth="1"/>
  </cols>
  <sheetData>
    <row r="2" spans="2:17" x14ac:dyDescent="0.3">
      <c r="B2" s="121"/>
      <c r="C2" s="121"/>
      <c r="D2" s="121"/>
      <c r="E2" s="113" t="s">
        <v>0</v>
      </c>
      <c r="F2" s="113" t="s">
        <v>1</v>
      </c>
      <c r="G2" s="113" t="s">
        <v>2</v>
      </c>
      <c r="H2" s="113" t="s">
        <v>3</v>
      </c>
      <c r="I2" s="113" t="s">
        <v>4</v>
      </c>
      <c r="J2" s="113" t="s">
        <v>5</v>
      </c>
      <c r="K2" s="113" t="s">
        <v>6</v>
      </c>
      <c r="L2" s="113" t="s">
        <v>7</v>
      </c>
      <c r="M2" s="113" t="s">
        <v>8</v>
      </c>
      <c r="N2" s="113" t="s">
        <v>9</v>
      </c>
    </row>
    <row r="3" spans="2:17" ht="43.2" x14ac:dyDescent="0.3">
      <c r="B3" s="122"/>
      <c r="C3" s="122"/>
      <c r="D3" s="122" t="s">
        <v>10</v>
      </c>
      <c r="E3" s="98" t="str">
        <f>Assumptions!C$3</f>
        <v>Base Programme (HL Only)</v>
      </c>
      <c r="F3" s="118" t="str">
        <f>Assumptions!D$3</f>
        <v>In-person Coaching (External), HL Only, Physical LPs</v>
      </c>
      <c r="G3" s="118" t="str">
        <f>Assumptions!E$3</f>
        <v>Virtual Coaching (External), HL Only, Physical LPs</v>
      </c>
      <c r="H3" s="118" t="str">
        <f>Assumptions!F$3</f>
        <v>DH Coaching (Internal), HL Only, Physical LPs</v>
      </c>
      <c r="I3" s="118" t="str">
        <f>Assumptions!G$3</f>
        <v>Base Programme (HL + EFAL)</v>
      </c>
      <c r="J3" s="118" t="str">
        <f>Assumptions!H$3</f>
        <v>In-person Coaching (External), HL + EFAL, Physical LPs</v>
      </c>
      <c r="K3" s="118" t="str">
        <f>Assumptions!I$3</f>
        <v>Virtual Coaching (External), HL + EFAL, Physical LPs</v>
      </c>
      <c r="L3" s="118" t="str">
        <f>Assumptions!J$3</f>
        <v>DH Coaching (Internal), HL + EFAL, Physical LPs</v>
      </c>
      <c r="M3" s="118" t="str">
        <f>Assumptions!K$3</f>
        <v>Base Programme (HL Only), Tablets</v>
      </c>
      <c r="N3" s="118" t="str">
        <f>Assumptions!L$3</f>
        <v>Base Programme (HL + EFAL), Tablets</v>
      </c>
    </row>
    <row r="4" spans="2:17" s="117" customFormat="1" ht="108" x14ac:dyDescent="0.3">
      <c r="B4" s="120" t="s">
        <v>59</v>
      </c>
      <c r="C4" s="120" t="s">
        <v>60</v>
      </c>
      <c r="D4" s="120" t="s">
        <v>579</v>
      </c>
      <c r="E4" s="119" t="str">
        <f>Assumptions!C$4</f>
        <v xml:space="preserve">Provision of structured, sequenced, lesson plans on tablet and additional LTSM in the HL with quarterly teacher training </v>
      </c>
      <c r="F4" s="119" t="str">
        <f>Assumptions!D$4</f>
        <v>Provision of structured, sequenced, lesson plans and additional LTSM in the HL only with quarterly teacher training and monthly in-person coaching support</v>
      </c>
      <c r="G4" s="119" t="str">
        <f>Assumptions!E$4</f>
        <v>Provision of structured, sequenced, lesson plans and additional LTSM in the HL only with quarterly teacher training and monthly virtual coaching support</v>
      </c>
      <c r="H4" s="119" t="str">
        <f>Assumptions!F$4</f>
        <v>Provision of structured, sequenced, lesson plans and additional LTSM in the HL only with quarterly teacher training and external coaching of DHs who support and coach teachers</v>
      </c>
      <c r="I4" s="119" t="str">
        <f>Assumptions!G$4</f>
        <v>Provision of structured, sequenced, lesson plans and additional LTSM in the HL and EFAL with quarterly teacher training</v>
      </c>
      <c r="J4" s="119" t="str">
        <f>Assumptions!H$4</f>
        <v>Provision of structured, sequenced, lesson plans and additional LTSM in the HL and EFAL with quarterly teacher training and monthly in-person coaching support</v>
      </c>
      <c r="K4" s="119" t="str">
        <f>Assumptions!I$4</f>
        <v>Provision of structured, sequenced, lesson plans and additional LTSM in the HL and EFAL with quarterly teacher training and monthly virtual coaching support</v>
      </c>
      <c r="L4" s="119" t="str">
        <f>Assumptions!J$4</f>
        <v>Provision of structured, sequenced, lesson plans and additional LTSM in the HL and EFAL with quarterly teacher training and external coaching of DHs who support and coach teachers</v>
      </c>
      <c r="M4" s="119" t="str">
        <f>Assumptions!K$4</f>
        <v xml:space="preserve">Provision of structured, sequenced, lesson plans on tablet and additional LTSM in the HL with quarterly teacher training </v>
      </c>
      <c r="N4" s="119" t="str">
        <f>Assumptions!L$4</f>
        <v xml:space="preserve">Provision of structured, sequenced, lesson plans on tablets and additional LTSM in the HL and EFAL with quarterly teacher training </v>
      </c>
    </row>
    <row r="5" spans="2:17" x14ac:dyDescent="0.3">
      <c r="B5" s="90">
        <v>2025</v>
      </c>
      <c r="C5" s="154"/>
      <c r="D5" s="90" t="s">
        <v>12</v>
      </c>
      <c r="E5" s="91">
        <f>PerTeacherCost_1!$E115</f>
        <v>5274.4093333333331</v>
      </c>
      <c r="F5" s="91">
        <f>PerTeacherCost_2!$E115</f>
        <v>17062.981253333332</v>
      </c>
      <c r="G5" s="91">
        <f>PerTeacherCost_3!$E115</f>
        <v>11522.063885333333</v>
      </c>
      <c r="H5" s="91">
        <f>PerTeacherCost_4!$E115</f>
        <v>11763.570872380951</v>
      </c>
      <c r="I5" s="91">
        <f>PerTeacherCost_5!$E115</f>
        <v>14023.032333333333</v>
      </c>
      <c r="J5" s="91">
        <f>PerTeacherCost_6!$E115</f>
        <v>25567.668253333333</v>
      </c>
      <c r="K5" s="91">
        <f>PerTeacherCost_7!$E115</f>
        <v>20026.750885333331</v>
      </c>
      <c r="L5" s="91">
        <f>PerTeacherCost_8!$E115</f>
        <v>20268.257872380953</v>
      </c>
      <c r="M5" s="91">
        <f>PerTeacherCost_9!$E115</f>
        <v>7537.0093333333325</v>
      </c>
      <c r="N5" s="91">
        <f>PerTeacherCost_10!$E115</f>
        <v>16111.857333333333</v>
      </c>
      <c r="Q5" s="52"/>
    </row>
    <row r="6" spans="2:17" x14ac:dyDescent="0.3">
      <c r="B6" s="152"/>
      <c r="C6" s="154"/>
      <c r="D6" s="152" t="s">
        <v>13</v>
      </c>
      <c r="E6" s="153">
        <f>PerTeacherCost_1!$E116</f>
        <v>150.69740952380951</v>
      </c>
      <c r="F6" s="153">
        <f>PerTeacherCost_2!$E116</f>
        <v>487.51375009523804</v>
      </c>
      <c r="G6" s="153">
        <f>PerTeacherCost_3!$E116</f>
        <v>329.20182529523811</v>
      </c>
      <c r="H6" s="153">
        <f>PerTeacherCost_4!$E116</f>
        <v>336.10202492517004</v>
      </c>
      <c r="I6" s="153">
        <f>PerTeacherCost_5!$E116</f>
        <v>400.65806666666663</v>
      </c>
      <c r="J6" s="153">
        <f>PerTeacherCost_6!$E116</f>
        <v>730.50480723809528</v>
      </c>
      <c r="K6" s="153">
        <f>PerTeacherCost_7!$E116</f>
        <v>572.19288243809513</v>
      </c>
      <c r="L6" s="153">
        <f>PerTeacherCost_8!$E116</f>
        <v>579.09308206802723</v>
      </c>
      <c r="M6" s="153">
        <f>PerTeacherCost_9!$E116</f>
        <v>215.34312380952377</v>
      </c>
      <c r="N6" s="153">
        <f>PerTeacherCost_10!$E116</f>
        <v>460.33878095238094</v>
      </c>
    </row>
    <row r="7" spans="2:17" ht="5.4" customHeight="1" x14ac:dyDescent="0.3">
      <c r="B7" s="155"/>
      <c r="C7" s="156"/>
      <c r="D7" s="155"/>
      <c r="E7" s="157"/>
      <c r="F7" s="157"/>
      <c r="G7" s="157"/>
      <c r="H7" s="157"/>
      <c r="I7" s="157"/>
      <c r="J7" s="157"/>
      <c r="K7" s="157"/>
      <c r="L7" s="157"/>
      <c r="M7" s="157"/>
      <c r="N7" s="157"/>
      <c r="Q7" s="52"/>
    </row>
    <row r="8" spans="2:17" x14ac:dyDescent="0.3">
      <c r="B8" s="90">
        <v>2026</v>
      </c>
      <c r="C8" s="158">
        <v>4.3999999999999997E-2</v>
      </c>
      <c r="D8" s="159" t="s">
        <v>12</v>
      </c>
      <c r="E8" s="160">
        <f>E5*(1+$C8)</f>
        <v>5506.4833440000002</v>
      </c>
      <c r="F8" s="160">
        <f t="shared" ref="F8:N8" si="0">F5*(1+$C8)</f>
        <v>17813.752428479998</v>
      </c>
      <c r="G8" s="160">
        <f t="shared" si="0"/>
        <v>12029.034696287999</v>
      </c>
      <c r="H8" s="160">
        <f t="shared" si="0"/>
        <v>12281.167990765713</v>
      </c>
      <c r="I8" s="160">
        <f t="shared" si="0"/>
        <v>14640.045756</v>
      </c>
      <c r="J8" s="160">
        <f t="shared" si="0"/>
        <v>26692.645656479999</v>
      </c>
      <c r="K8" s="160">
        <f t="shared" si="0"/>
        <v>20907.927924288</v>
      </c>
      <c r="L8" s="160">
        <f t="shared" si="0"/>
        <v>21160.061218765717</v>
      </c>
      <c r="M8" s="160">
        <f t="shared" si="0"/>
        <v>7868.6377439999997</v>
      </c>
      <c r="N8" s="160">
        <f t="shared" si="0"/>
        <v>16820.779055999999</v>
      </c>
      <c r="Q8" s="52"/>
    </row>
    <row r="9" spans="2:17" x14ac:dyDescent="0.3">
      <c r="B9" s="152" t="s">
        <v>61</v>
      </c>
      <c r="C9" s="154"/>
      <c r="D9" s="161" t="s">
        <v>13</v>
      </c>
      <c r="E9" s="162">
        <f>E6*(1+$C8)</f>
        <v>157.32809554285714</v>
      </c>
      <c r="F9" s="162">
        <f t="shared" ref="F9:N9" si="1">F6*(1+$C8)</f>
        <v>508.96435509942853</v>
      </c>
      <c r="G9" s="162">
        <f t="shared" si="1"/>
        <v>343.68670560822858</v>
      </c>
      <c r="H9" s="162">
        <f t="shared" si="1"/>
        <v>350.89051402187755</v>
      </c>
      <c r="I9" s="162">
        <f t="shared" si="1"/>
        <v>418.2870216</v>
      </c>
      <c r="J9" s="162">
        <f t="shared" si="1"/>
        <v>762.64701875657147</v>
      </c>
      <c r="K9" s="162">
        <f t="shared" si="1"/>
        <v>597.36936926537135</v>
      </c>
      <c r="L9" s="162">
        <f t="shared" si="1"/>
        <v>604.57317767902043</v>
      </c>
      <c r="M9" s="162">
        <f t="shared" si="1"/>
        <v>224.81822125714282</v>
      </c>
      <c r="N9" s="162">
        <f t="shared" si="1"/>
        <v>480.59368731428572</v>
      </c>
    </row>
    <row r="10" spans="2:17" ht="5.4" customHeight="1" x14ac:dyDescent="0.3">
      <c r="B10" s="155"/>
      <c r="C10" s="156"/>
      <c r="D10" s="155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Q10" s="52"/>
    </row>
    <row r="11" spans="2:17" x14ac:dyDescent="0.3">
      <c r="B11" s="90">
        <v>2027</v>
      </c>
      <c r="C11" s="158">
        <v>4.3999999999999997E-2</v>
      </c>
      <c r="D11" s="159" t="s">
        <v>12</v>
      </c>
      <c r="E11" s="160">
        <f>E8*(1+$C11)</f>
        <v>5748.7686111360008</v>
      </c>
      <c r="F11" s="160">
        <f t="shared" ref="F11:N11" si="2">F8*(1+$C11)</f>
        <v>18597.557535333119</v>
      </c>
      <c r="G11" s="160">
        <f t="shared" si="2"/>
        <v>12558.312222924671</v>
      </c>
      <c r="H11" s="160">
        <f t="shared" si="2"/>
        <v>12821.539382359404</v>
      </c>
      <c r="I11" s="160">
        <f t="shared" si="2"/>
        <v>15284.207769264</v>
      </c>
      <c r="J11" s="160">
        <f t="shared" si="2"/>
        <v>27867.122065365122</v>
      </c>
      <c r="K11" s="160">
        <f t="shared" si="2"/>
        <v>21827.876752956672</v>
      </c>
      <c r="L11" s="160">
        <f t="shared" si="2"/>
        <v>22091.103912391409</v>
      </c>
      <c r="M11" s="160">
        <f t="shared" si="2"/>
        <v>8214.8578047360006</v>
      </c>
      <c r="N11" s="160">
        <f t="shared" si="2"/>
        <v>17560.893334463999</v>
      </c>
      <c r="Q11" s="52"/>
    </row>
    <row r="12" spans="2:17" x14ac:dyDescent="0.3">
      <c r="B12" s="152" t="s">
        <v>61</v>
      </c>
      <c r="C12" s="154"/>
      <c r="D12" s="161" t="s">
        <v>13</v>
      </c>
      <c r="E12" s="162">
        <f>E9*(1+$C11)</f>
        <v>164.25053174674287</v>
      </c>
      <c r="F12" s="162">
        <f t="shared" ref="F12:N12" si="3">F9*(1+$C11)</f>
        <v>531.35878672380341</v>
      </c>
      <c r="G12" s="162">
        <f t="shared" si="3"/>
        <v>358.80892065499063</v>
      </c>
      <c r="H12" s="162">
        <f t="shared" si="3"/>
        <v>366.32969663884018</v>
      </c>
      <c r="I12" s="162">
        <f t="shared" si="3"/>
        <v>436.69165055040003</v>
      </c>
      <c r="J12" s="162">
        <f t="shared" si="3"/>
        <v>796.2034875818606</v>
      </c>
      <c r="K12" s="162">
        <f t="shared" si="3"/>
        <v>623.65362151304771</v>
      </c>
      <c r="L12" s="162">
        <f t="shared" si="3"/>
        <v>631.17439749689731</v>
      </c>
      <c r="M12" s="162">
        <f t="shared" si="3"/>
        <v>234.71022299245712</v>
      </c>
      <c r="N12" s="162">
        <f t="shared" si="3"/>
        <v>501.73980955611432</v>
      </c>
    </row>
    <row r="13" spans="2:17" ht="5.4" customHeight="1" x14ac:dyDescent="0.3">
      <c r="B13" s="155"/>
      <c r="C13" s="156"/>
      <c r="D13" s="155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Q13" s="52"/>
    </row>
    <row r="14" spans="2:17" x14ac:dyDescent="0.3">
      <c r="B14" s="90">
        <v>2028</v>
      </c>
      <c r="C14" s="158">
        <v>4.3999999999999997E-2</v>
      </c>
      <c r="D14" s="159" t="s">
        <v>12</v>
      </c>
      <c r="E14" s="160">
        <f>E11*(1+$C14)</f>
        <v>6001.7144300259852</v>
      </c>
      <c r="F14" s="160">
        <f t="shared" ref="F14:N14" si="4">F11*(1+$C14)</f>
        <v>19415.850066887775</v>
      </c>
      <c r="G14" s="160">
        <f t="shared" si="4"/>
        <v>13110.877960733356</v>
      </c>
      <c r="H14" s="160">
        <f t="shared" si="4"/>
        <v>13385.687115183218</v>
      </c>
      <c r="I14" s="160">
        <f t="shared" si="4"/>
        <v>15956.712911111616</v>
      </c>
      <c r="J14" s="160">
        <f t="shared" si="4"/>
        <v>29093.275436241187</v>
      </c>
      <c r="K14" s="160">
        <f t="shared" si="4"/>
        <v>22788.303330086768</v>
      </c>
      <c r="L14" s="160">
        <f t="shared" si="4"/>
        <v>23063.112484536632</v>
      </c>
      <c r="M14" s="160">
        <f t="shared" si="4"/>
        <v>8576.3115481443856</v>
      </c>
      <c r="N14" s="160">
        <f t="shared" si="4"/>
        <v>18333.572641180417</v>
      </c>
      <c r="Q14" s="52"/>
    </row>
    <row r="15" spans="2:17" x14ac:dyDescent="0.3">
      <c r="B15" s="152" t="s">
        <v>61</v>
      </c>
      <c r="C15" s="154"/>
      <c r="D15" s="161" t="s">
        <v>13</v>
      </c>
      <c r="E15" s="162">
        <f>E12*(1+$C14)</f>
        <v>171.47755514359955</v>
      </c>
      <c r="F15" s="162">
        <f t="shared" ref="F15:N15" si="5">F12*(1+$C14)</f>
        <v>554.73857333965077</v>
      </c>
      <c r="G15" s="162">
        <f t="shared" si="5"/>
        <v>374.59651316381024</v>
      </c>
      <c r="H15" s="162">
        <f t="shared" si="5"/>
        <v>382.44820329094915</v>
      </c>
      <c r="I15" s="162">
        <f t="shared" si="5"/>
        <v>455.90608317461766</v>
      </c>
      <c r="J15" s="162">
        <f t="shared" si="5"/>
        <v>831.23644103546246</v>
      </c>
      <c r="K15" s="162">
        <f t="shared" si="5"/>
        <v>651.09438085962188</v>
      </c>
      <c r="L15" s="162">
        <f t="shared" si="5"/>
        <v>658.94607098676079</v>
      </c>
      <c r="M15" s="162">
        <f t="shared" si="5"/>
        <v>245.03747280412523</v>
      </c>
      <c r="N15" s="162">
        <f t="shared" si="5"/>
        <v>523.81636117658343</v>
      </c>
    </row>
    <row r="16" spans="2:17" ht="5.4" customHeight="1" x14ac:dyDescent="0.3">
      <c r="B16" s="155"/>
      <c r="C16" s="156"/>
      <c r="D16" s="155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Q16" s="52"/>
    </row>
    <row r="17" spans="2:17" x14ac:dyDescent="0.3">
      <c r="B17" s="90">
        <v>2029</v>
      </c>
      <c r="C17" s="158">
        <v>4.3999999999999997E-2</v>
      </c>
      <c r="D17" s="159" t="s">
        <v>12</v>
      </c>
      <c r="E17" s="160">
        <f>E14*(1+$C17)</f>
        <v>6265.789864947129</v>
      </c>
      <c r="F17" s="160">
        <f t="shared" ref="F17:N17" si="6">F14*(1+$C17)</f>
        <v>20270.147469830838</v>
      </c>
      <c r="G17" s="160">
        <f t="shared" si="6"/>
        <v>13687.756591005624</v>
      </c>
      <c r="H17" s="160">
        <f t="shared" si="6"/>
        <v>13974.657348251281</v>
      </c>
      <c r="I17" s="160">
        <f t="shared" si="6"/>
        <v>16658.808279200526</v>
      </c>
      <c r="J17" s="160">
        <f t="shared" si="6"/>
        <v>30373.3795554358</v>
      </c>
      <c r="K17" s="160">
        <f t="shared" si="6"/>
        <v>23790.988676610588</v>
      </c>
      <c r="L17" s="160">
        <f t="shared" si="6"/>
        <v>24077.889433856246</v>
      </c>
      <c r="M17" s="160">
        <f t="shared" si="6"/>
        <v>8953.6692562627395</v>
      </c>
      <c r="N17" s="160">
        <f t="shared" si="6"/>
        <v>19140.249837392355</v>
      </c>
      <c r="Q17" s="52"/>
    </row>
    <row r="18" spans="2:17" x14ac:dyDescent="0.3">
      <c r="B18" s="152" t="s">
        <v>61</v>
      </c>
      <c r="C18" s="154"/>
      <c r="D18" s="161" t="s">
        <v>13</v>
      </c>
      <c r="E18" s="162">
        <f>E15*(1+$C17)</f>
        <v>179.02256756991792</v>
      </c>
      <c r="F18" s="162">
        <f t="shared" ref="F18:N18" si="7">F15*(1+$C17)</f>
        <v>579.1470705665954</v>
      </c>
      <c r="G18" s="162">
        <f t="shared" si="7"/>
        <v>391.07875974301788</v>
      </c>
      <c r="H18" s="162">
        <f t="shared" si="7"/>
        <v>399.27592423575095</v>
      </c>
      <c r="I18" s="162">
        <f t="shared" si="7"/>
        <v>475.96595083430088</v>
      </c>
      <c r="J18" s="162">
        <f t="shared" si="7"/>
        <v>867.81084444102282</v>
      </c>
      <c r="K18" s="162">
        <f t="shared" si="7"/>
        <v>679.74253361744525</v>
      </c>
      <c r="L18" s="162">
        <f t="shared" si="7"/>
        <v>687.93969811017826</v>
      </c>
      <c r="M18" s="162">
        <f t="shared" si="7"/>
        <v>255.81912160750676</v>
      </c>
      <c r="N18" s="162">
        <f t="shared" si="7"/>
        <v>546.86428106835308</v>
      </c>
    </row>
    <row r="19" spans="2:17" ht="5.4" customHeight="1" x14ac:dyDescent="0.3">
      <c r="B19" s="155"/>
      <c r="C19" s="156"/>
      <c r="D19" s="155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Q19" s="52"/>
    </row>
    <row r="20" spans="2:17" x14ac:dyDescent="0.3">
      <c r="B20" s="90">
        <v>2030</v>
      </c>
      <c r="C20" s="158">
        <v>4.3999999999999997E-2</v>
      </c>
      <c r="D20" s="159" t="s">
        <v>12</v>
      </c>
      <c r="E20" s="160">
        <f>E17*(1+$C20)</f>
        <v>6541.4846190048029</v>
      </c>
      <c r="F20" s="160">
        <f t="shared" ref="F20:N20" si="8">F17*(1+$C20)</f>
        <v>21162.033958503394</v>
      </c>
      <c r="G20" s="160">
        <f t="shared" si="8"/>
        <v>14290.017881009871</v>
      </c>
      <c r="H20" s="160">
        <f t="shared" si="8"/>
        <v>14589.542271574339</v>
      </c>
      <c r="I20" s="160">
        <f t="shared" si="8"/>
        <v>17391.79584348535</v>
      </c>
      <c r="J20" s="160">
        <f t="shared" si="8"/>
        <v>31709.808255874977</v>
      </c>
      <c r="K20" s="160">
        <f t="shared" si="8"/>
        <v>24837.792178381456</v>
      </c>
      <c r="L20" s="160">
        <f t="shared" si="8"/>
        <v>25137.31656894592</v>
      </c>
      <c r="M20" s="160">
        <f t="shared" si="8"/>
        <v>9347.6307035382997</v>
      </c>
      <c r="N20" s="160">
        <f t="shared" si="8"/>
        <v>19982.420830237621</v>
      </c>
      <c r="Q20" s="52"/>
    </row>
    <row r="21" spans="2:17" x14ac:dyDescent="0.3">
      <c r="B21" s="152" t="s">
        <v>61</v>
      </c>
      <c r="C21" s="154"/>
      <c r="D21" s="161" t="s">
        <v>13</v>
      </c>
      <c r="E21" s="162">
        <f>E18*(1+$C20)</f>
        <v>186.89956054299432</v>
      </c>
      <c r="F21" s="162">
        <f t="shared" ref="F21:N21" si="9">F18*(1+$C20)</f>
        <v>604.62954167152566</v>
      </c>
      <c r="G21" s="162">
        <f t="shared" si="9"/>
        <v>408.28622517171067</v>
      </c>
      <c r="H21" s="162">
        <f t="shared" si="9"/>
        <v>416.84406490212399</v>
      </c>
      <c r="I21" s="162">
        <f t="shared" si="9"/>
        <v>496.90845267101014</v>
      </c>
      <c r="J21" s="162">
        <f t="shared" si="9"/>
        <v>905.99452159642783</v>
      </c>
      <c r="K21" s="162">
        <f t="shared" si="9"/>
        <v>709.6512050966129</v>
      </c>
      <c r="L21" s="162">
        <f t="shared" si="9"/>
        <v>718.2090448270261</v>
      </c>
      <c r="M21" s="162">
        <f t="shared" si="9"/>
        <v>267.07516295823706</v>
      </c>
      <c r="N21" s="162">
        <f t="shared" si="9"/>
        <v>570.92630943536062</v>
      </c>
    </row>
    <row r="1048575" spans="3:3" x14ac:dyDescent="0.3">
      <c r="C1048575" t="s">
        <v>62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D275A-4A7B-4F37-9F21-53970329B090}">
  <sheetPr>
    <tabColor theme="7"/>
  </sheetPr>
  <dimension ref="B1:M83"/>
  <sheetViews>
    <sheetView showGridLines="0" zoomScale="58" zoomScaleNormal="115" workbookViewId="0">
      <pane xSplit="2" ySplit="3" topLeftCell="C31" activePane="bottomRight" state="frozen"/>
      <selection pane="topRight" activeCell="C1" sqref="C1"/>
      <selection pane="bottomLeft" activeCell="A3" sqref="A3"/>
      <selection pane="bottomRight" activeCell="G51" sqref="G51"/>
    </sheetView>
  </sheetViews>
  <sheetFormatPr defaultRowHeight="14.4" x14ac:dyDescent="0.3"/>
  <cols>
    <col min="1" max="1" width="1.88671875" customWidth="1"/>
    <col min="2" max="2" width="89.33203125" customWidth="1"/>
    <col min="3" max="12" width="24.109375" customWidth="1"/>
    <col min="13" max="13" width="96.44140625" customWidth="1"/>
  </cols>
  <sheetData>
    <row r="1" spans="2:13" ht="5.4" customHeight="1" x14ac:dyDescent="0.3">
      <c r="C1" t="s">
        <v>63</v>
      </c>
      <c r="H1" t="s">
        <v>63</v>
      </c>
    </row>
    <row r="2" spans="2:13" x14ac:dyDescent="0.3">
      <c r="B2" s="38"/>
      <c r="C2" s="113" t="s">
        <v>0</v>
      </c>
      <c r="D2" s="113" t="s">
        <v>1</v>
      </c>
      <c r="E2" s="113" t="s">
        <v>2</v>
      </c>
      <c r="F2" s="113" t="s">
        <v>3</v>
      </c>
      <c r="G2" s="113" t="s">
        <v>4</v>
      </c>
      <c r="H2" s="113" t="s">
        <v>5</v>
      </c>
      <c r="I2" s="113" t="s">
        <v>6</v>
      </c>
      <c r="J2" s="113" t="s">
        <v>7</v>
      </c>
      <c r="K2" s="113" t="s">
        <v>8</v>
      </c>
      <c r="L2" s="113" t="s">
        <v>9</v>
      </c>
      <c r="M2" s="113" t="s">
        <v>47</v>
      </c>
    </row>
    <row r="3" spans="2:13" ht="30.6" customHeight="1" x14ac:dyDescent="0.3">
      <c r="B3" s="115" t="s">
        <v>10</v>
      </c>
      <c r="C3" s="98" t="s">
        <v>64</v>
      </c>
      <c r="D3" s="98" t="s">
        <v>65</v>
      </c>
      <c r="E3" s="98" t="s">
        <v>66</v>
      </c>
      <c r="F3" s="98" t="s">
        <v>67</v>
      </c>
      <c r="G3" s="98" t="s">
        <v>68</v>
      </c>
      <c r="H3" s="98" t="s">
        <v>69</v>
      </c>
      <c r="I3" s="98" t="s">
        <v>70</v>
      </c>
      <c r="J3" s="98" t="s">
        <v>71</v>
      </c>
      <c r="K3" s="98" t="s">
        <v>72</v>
      </c>
      <c r="L3" s="98" t="s">
        <v>73</v>
      </c>
      <c r="M3" s="113" t="s">
        <v>74</v>
      </c>
    </row>
    <row r="4" spans="2:13" s="117" customFormat="1" ht="84.75" customHeight="1" x14ac:dyDescent="0.3">
      <c r="B4" s="114" t="s">
        <v>11</v>
      </c>
      <c r="C4" s="116" t="s">
        <v>559</v>
      </c>
      <c r="D4" s="116" t="s">
        <v>75</v>
      </c>
      <c r="E4" s="116" t="s">
        <v>76</v>
      </c>
      <c r="F4" s="116" t="s">
        <v>77</v>
      </c>
      <c r="G4" s="116" t="s">
        <v>561</v>
      </c>
      <c r="H4" s="116" t="s">
        <v>78</v>
      </c>
      <c r="I4" s="116" t="s">
        <v>79</v>
      </c>
      <c r="J4" s="116" t="s">
        <v>80</v>
      </c>
      <c r="K4" s="116" t="s">
        <v>559</v>
      </c>
      <c r="L4" s="116" t="s">
        <v>560</v>
      </c>
      <c r="M4" s="123" t="s">
        <v>47</v>
      </c>
    </row>
    <row r="5" spans="2:13" x14ac:dyDescent="0.3">
      <c r="B5" s="40" t="s">
        <v>81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124"/>
    </row>
    <row r="6" spans="2:13" x14ac:dyDescent="0.3">
      <c r="B6" s="42" t="s">
        <v>82</v>
      </c>
      <c r="C6" s="43" t="s">
        <v>83</v>
      </c>
      <c r="D6" s="43" t="s">
        <v>83</v>
      </c>
      <c r="E6" s="43" t="s">
        <v>83</v>
      </c>
      <c r="F6" s="43" t="s">
        <v>83</v>
      </c>
      <c r="G6" s="43" t="s">
        <v>83</v>
      </c>
      <c r="H6" s="43" t="s">
        <v>83</v>
      </c>
      <c r="I6" s="43" t="s">
        <v>83</v>
      </c>
      <c r="J6" s="43" t="s">
        <v>83</v>
      </c>
      <c r="K6" s="43" t="s">
        <v>83</v>
      </c>
      <c r="L6" s="43" t="s">
        <v>83</v>
      </c>
      <c r="M6" s="125" t="s">
        <v>84</v>
      </c>
    </row>
    <row r="7" spans="2:13" x14ac:dyDescent="0.3">
      <c r="B7" s="42" t="s">
        <v>85</v>
      </c>
      <c r="C7" s="43" t="s">
        <v>83</v>
      </c>
      <c r="D7" s="43" t="s">
        <v>83</v>
      </c>
      <c r="E7" s="43" t="s">
        <v>83</v>
      </c>
      <c r="F7" s="43" t="s">
        <v>83</v>
      </c>
      <c r="G7" s="43" t="s">
        <v>83</v>
      </c>
      <c r="H7" s="43" t="s">
        <v>83</v>
      </c>
      <c r="I7" s="43" t="s">
        <v>83</v>
      </c>
      <c r="J7" s="43" t="s">
        <v>83</v>
      </c>
      <c r="K7" s="43" t="s">
        <v>83</v>
      </c>
      <c r="L7" s="43" t="s">
        <v>83</v>
      </c>
      <c r="M7" s="125"/>
    </row>
    <row r="8" spans="2:13" x14ac:dyDescent="0.3">
      <c r="B8" s="42" t="s">
        <v>86</v>
      </c>
      <c r="C8" s="43" t="s">
        <v>83</v>
      </c>
      <c r="D8" s="43" t="s">
        <v>83</v>
      </c>
      <c r="E8" s="43" t="s">
        <v>83</v>
      </c>
      <c r="F8" s="43" t="s">
        <v>83</v>
      </c>
      <c r="G8" s="43" t="s">
        <v>83</v>
      </c>
      <c r="H8" s="43" t="s">
        <v>83</v>
      </c>
      <c r="I8" s="43" t="s">
        <v>83</v>
      </c>
      <c r="J8" s="43" t="s">
        <v>83</v>
      </c>
      <c r="K8" s="43" t="s">
        <v>83</v>
      </c>
      <c r="L8" s="43" t="s">
        <v>83</v>
      </c>
      <c r="M8" s="125"/>
    </row>
    <row r="9" spans="2:13" x14ac:dyDescent="0.3">
      <c r="B9" s="42" t="s">
        <v>87</v>
      </c>
      <c r="C9" s="62">
        <f>COUNTIF(C$6:C$8, "Yes")</f>
        <v>3</v>
      </c>
      <c r="D9" s="62">
        <f t="shared" ref="D9:L9" si="0">COUNTIF(D$6:D$8, "Yes")</f>
        <v>3</v>
      </c>
      <c r="E9" s="62">
        <f t="shared" si="0"/>
        <v>3</v>
      </c>
      <c r="F9" s="62">
        <f t="shared" si="0"/>
        <v>3</v>
      </c>
      <c r="G9" s="62">
        <f t="shared" si="0"/>
        <v>3</v>
      </c>
      <c r="H9" s="62">
        <f t="shared" si="0"/>
        <v>3</v>
      </c>
      <c r="I9" s="62">
        <f t="shared" si="0"/>
        <v>3</v>
      </c>
      <c r="J9" s="62">
        <f t="shared" si="0"/>
        <v>3</v>
      </c>
      <c r="K9" s="62">
        <f t="shared" si="0"/>
        <v>3</v>
      </c>
      <c r="L9" s="62">
        <f t="shared" si="0"/>
        <v>3</v>
      </c>
      <c r="M9" s="129"/>
    </row>
    <row r="10" spans="2:13" x14ac:dyDescent="0.3">
      <c r="B10" s="61" t="s">
        <v>23</v>
      </c>
      <c r="C10" s="93" t="s">
        <v>88</v>
      </c>
      <c r="D10" s="93" t="s">
        <v>88</v>
      </c>
      <c r="E10" s="93" t="s">
        <v>88</v>
      </c>
      <c r="F10" s="93" t="s">
        <v>88</v>
      </c>
      <c r="G10" s="93" t="s">
        <v>89</v>
      </c>
      <c r="H10" s="93" t="s">
        <v>89</v>
      </c>
      <c r="I10" s="93" t="s">
        <v>89</v>
      </c>
      <c r="J10" s="93" t="s">
        <v>89</v>
      </c>
      <c r="K10" s="93" t="s">
        <v>88</v>
      </c>
      <c r="L10" s="93" t="s">
        <v>89</v>
      </c>
      <c r="M10" s="126"/>
    </row>
    <row r="11" spans="2:13" x14ac:dyDescent="0.3">
      <c r="B11" s="65" t="s">
        <v>24</v>
      </c>
      <c r="C11" s="93" t="s">
        <v>90</v>
      </c>
      <c r="D11" s="93" t="s">
        <v>83</v>
      </c>
      <c r="E11" s="93" t="s">
        <v>83</v>
      </c>
      <c r="F11" s="93" t="s">
        <v>83</v>
      </c>
      <c r="G11" s="93" t="s">
        <v>90</v>
      </c>
      <c r="H11" s="93" t="s">
        <v>83</v>
      </c>
      <c r="I11" s="93" t="s">
        <v>83</v>
      </c>
      <c r="J11" s="93" t="s">
        <v>83</v>
      </c>
      <c r="K11" s="93" t="s">
        <v>90</v>
      </c>
      <c r="L11" s="93" t="s">
        <v>90</v>
      </c>
      <c r="M11" s="126"/>
    </row>
    <row r="12" spans="2:13" x14ac:dyDescent="0.3">
      <c r="B12" s="67" t="s">
        <v>25</v>
      </c>
      <c r="C12" s="94" t="s">
        <v>91</v>
      </c>
      <c r="D12" s="94" t="s">
        <v>91</v>
      </c>
      <c r="E12" s="94" t="s">
        <v>92</v>
      </c>
      <c r="F12" s="94" t="s">
        <v>93</v>
      </c>
      <c r="G12" s="94" t="s">
        <v>91</v>
      </c>
      <c r="H12" s="94" t="s">
        <v>91</v>
      </c>
      <c r="I12" s="94" t="s">
        <v>92</v>
      </c>
      <c r="J12" s="94" t="s">
        <v>93</v>
      </c>
      <c r="K12" s="94" t="s">
        <v>91</v>
      </c>
      <c r="L12" s="94" t="s">
        <v>91</v>
      </c>
      <c r="M12" s="127"/>
    </row>
    <row r="13" spans="2:13" x14ac:dyDescent="0.3">
      <c r="B13" s="51" t="s">
        <v>33</v>
      </c>
      <c r="C13" s="95" t="s">
        <v>90</v>
      </c>
      <c r="D13" s="95" t="s">
        <v>90</v>
      </c>
      <c r="E13" s="95" t="s">
        <v>90</v>
      </c>
      <c r="F13" s="95" t="s">
        <v>90</v>
      </c>
      <c r="G13" s="95" t="s">
        <v>90</v>
      </c>
      <c r="H13" s="95" t="s">
        <v>90</v>
      </c>
      <c r="I13" s="95" t="s">
        <v>90</v>
      </c>
      <c r="J13" s="95" t="s">
        <v>90</v>
      </c>
      <c r="K13" s="95" t="s">
        <v>83</v>
      </c>
      <c r="L13" s="95" t="s">
        <v>83</v>
      </c>
      <c r="M13" s="133"/>
    </row>
    <row r="14" spans="2:13" x14ac:dyDescent="0.3">
      <c r="B14" s="61" t="s">
        <v>26</v>
      </c>
      <c r="C14" s="66">
        <v>175</v>
      </c>
      <c r="D14" s="66">
        <v>175</v>
      </c>
      <c r="E14" s="66">
        <v>175</v>
      </c>
      <c r="F14" s="66">
        <v>175</v>
      </c>
      <c r="G14" s="66">
        <v>175</v>
      </c>
      <c r="H14" s="66">
        <v>175</v>
      </c>
      <c r="I14" s="66">
        <v>175</v>
      </c>
      <c r="J14" s="66">
        <v>175</v>
      </c>
      <c r="K14" s="66">
        <v>175</v>
      </c>
      <c r="L14" s="66">
        <v>175</v>
      </c>
      <c r="M14" s="128" t="s">
        <v>94</v>
      </c>
    </row>
    <row r="15" spans="2:13" x14ac:dyDescent="0.3">
      <c r="B15" s="40" t="s">
        <v>27</v>
      </c>
      <c r="C15" s="49">
        <v>2</v>
      </c>
      <c r="D15" s="49">
        <v>2</v>
      </c>
      <c r="E15" s="49">
        <v>2</v>
      </c>
      <c r="F15" s="49">
        <v>2</v>
      </c>
      <c r="G15" s="49">
        <v>2</v>
      </c>
      <c r="H15" s="49">
        <v>2</v>
      </c>
      <c r="I15" s="49">
        <v>2</v>
      </c>
      <c r="J15" s="49">
        <v>2</v>
      </c>
      <c r="K15" s="49">
        <v>2</v>
      </c>
      <c r="L15" s="49">
        <v>2</v>
      </c>
      <c r="M15" s="124" t="s">
        <v>564</v>
      </c>
    </row>
    <row r="16" spans="2:13" x14ac:dyDescent="0.3">
      <c r="B16" s="48" t="s">
        <v>28</v>
      </c>
      <c r="C16" s="62">
        <f t="shared" ref="C16:L16" si="1">C9*C15</f>
        <v>6</v>
      </c>
      <c r="D16" s="62">
        <f t="shared" si="1"/>
        <v>6</v>
      </c>
      <c r="E16" s="62">
        <f t="shared" si="1"/>
        <v>6</v>
      </c>
      <c r="F16" s="62">
        <f t="shared" si="1"/>
        <v>6</v>
      </c>
      <c r="G16" s="62">
        <f t="shared" si="1"/>
        <v>6</v>
      </c>
      <c r="H16" s="62">
        <f t="shared" si="1"/>
        <v>6</v>
      </c>
      <c r="I16" s="62">
        <f t="shared" si="1"/>
        <v>6</v>
      </c>
      <c r="J16" s="62">
        <f t="shared" si="1"/>
        <v>6</v>
      </c>
      <c r="K16" s="62">
        <f t="shared" si="1"/>
        <v>6</v>
      </c>
      <c r="L16" s="62">
        <f t="shared" si="1"/>
        <v>6</v>
      </c>
      <c r="M16" s="129"/>
    </row>
    <row r="17" spans="2:13" x14ac:dyDescent="0.3">
      <c r="B17" s="48" t="s">
        <v>29</v>
      </c>
      <c r="C17" s="97">
        <v>60</v>
      </c>
      <c r="D17" s="97">
        <v>60</v>
      </c>
      <c r="E17" s="97">
        <v>100</v>
      </c>
      <c r="F17" s="97">
        <v>1</v>
      </c>
      <c r="G17" s="97">
        <v>60</v>
      </c>
      <c r="H17" s="97">
        <v>60</v>
      </c>
      <c r="I17" s="97">
        <v>100</v>
      </c>
      <c r="J17" s="97">
        <v>1</v>
      </c>
      <c r="K17" s="97">
        <v>60</v>
      </c>
      <c r="L17" s="97">
        <v>60</v>
      </c>
      <c r="M17" s="125"/>
    </row>
    <row r="18" spans="2:13" x14ac:dyDescent="0.3">
      <c r="B18" s="48" t="s">
        <v>95</v>
      </c>
      <c r="C18" s="97">
        <v>1</v>
      </c>
      <c r="D18" s="97">
        <v>1</v>
      </c>
      <c r="E18" s="97">
        <v>1</v>
      </c>
      <c r="F18" s="97">
        <v>20</v>
      </c>
      <c r="G18" s="97">
        <v>1</v>
      </c>
      <c r="H18" s="97">
        <v>1</v>
      </c>
      <c r="I18" s="97">
        <v>1</v>
      </c>
      <c r="J18" s="97">
        <v>20</v>
      </c>
      <c r="K18" s="97">
        <v>1</v>
      </c>
      <c r="L18" s="97">
        <v>1</v>
      </c>
      <c r="M18" s="125"/>
    </row>
    <row r="19" spans="2:13" x14ac:dyDescent="0.3">
      <c r="B19" s="48" t="s">
        <v>96</v>
      </c>
      <c r="C19" s="97">
        <v>1</v>
      </c>
      <c r="D19" s="97">
        <v>1</v>
      </c>
      <c r="E19" s="97">
        <v>1</v>
      </c>
      <c r="F19" s="97">
        <v>5</v>
      </c>
      <c r="G19" s="97">
        <v>1</v>
      </c>
      <c r="H19" s="97">
        <v>1</v>
      </c>
      <c r="I19" s="97">
        <v>1</v>
      </c>
      <c r="J19" s="97">
        <v>5</v>
      </c>
      <c r="K19" s="97">
        <v>1</v>
      </c>
      <c r="L19" s="97">
        <v>1</v>
      </c>
      <c r="M19" s="125"/>
    </row>
    <row r="20" spans="2:13" x14ac:dyDescent="0.3">
      <c r="B20" s="48" t="s">
        <v>30</v>
      </c>
      <c r="C20" s="43">
        <v>35</v>
      </c>
      <c r="D20" s="43">
        <v>35</v>
      </c>
      <c r="E20" s="43">
        <v>35</v>
      </c>
      <c r="F20" s="43">
        <v>35</v>
      </c>
      <c r="G20" s="43">
        <v>35</v>
      </c>
      <c r="H20" s="43">
        <v>35</v>
      </c>
      <c r="I20" s="43">
        <v>35</v>
      </c>
      <c r="J20" s="43">
        <v>35</v>
      </c>
      <c r="K20" s="43">
        <v>35</v>
      </c>
      <c r="L20" s="43">
        <v>35</v>
      </c>
      <c r="M20" s="125"/>
    </row>
    <row r="21" spans="2:13" ht="5.4" customHeight="1" x14ac:dyDescent="0.3">
      <c r="B21" s="8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130"/>
    </row>
    <row r="22" spans="2:13" x14ac:dyDescent="0.3">
      <c r="B22" s="21" t="s">
        <v>31</v>
      </c>
      <c r="C22" s="22">
        <v>0.05</v>
      </c>
      <c r="D22" s="22">
        <v>0.05</v>
      </c>
      <c r="E22" s="22">
        <v>0.05</v>
      </c>
      <c r="F22" s="22">
        <v>0.05</v>
      </c>
      <c r="G22" s="22">
        <v>0.05</v>
      </c>
      <c r="H22" s="22">
        <v>0.05</v>
      </c>
      <c r="I22" s="22">
        <v>0.05</v>
      </c>
      <c r="J22" s="22">
        <v>0.05</v>
      </c>
      <c r="K22" s="22">
        <v>0.05</v>
      </c>
      <c r="L22" s="22">
        <v>0.05</v>
      </c>
      <c r="M22" s="131"/>
    </row>
    <row r="23" spans="2:13" x14ac:dyDescent="0.3">
      <c r="B23" s="21" t="s">
        <v>22</v>
      </c>
      <c r="C23" s="78">
        <v>18.5</v>
      </c>
      <c r="D23" s="78">
        <v>18.5</v>
      </c>
      <c r="E23" s="78">
        <v>18.5</v>
      </c>
      <c r="F23" s="78">
        <v>18.5</v>
      </c>
      <c r="G23" s="78">
        <v>18.5</v>
      </c>
      <c r="H23" s="78">
        <v>18.5</v>
      </c>
      <c r="I23" s="78">
        <v>18.5</v>
      </c>
      <c r="J23" s="78">
        <v>18.5</v>
      </c>
      <c r="K23" s="78">
        <v>18.5</v>
      </c>
      <c r="L23" s="78">
        <v>18.5</v>
      </c>
      <c r="M23" s="132" t="s">
        <v>97</v>
      </c>
    </row>
    <row r="24" spans="2:13" x14ac:dyDescent="0.3">
      <c r="M24" s="125"/>
    </row>
    <row r="25" spans="2:13" x14ac:dyDescent="0.3">
      <c r="B25" s="38" t="s">
        <v>98</v>
      </c>
      <c r="C25" s="39" t="s">
        <v>47</v>
      </c>
      <c r="D25" s="39" t="s">
        <v>47</v>
      </c>
      <c r="E25" s="39" t="s">
        <v>47</v>
      </c>
      <c r="F25" s="39" t="s">
        <v>47</v>
      </c>
      <c r="G25" s="39" t="s">
        <v>47</v>
      </c>
      <c r="H25" s="39" t="s">
        <v>47</v>
      </c>
      <c r="I25" s="39" t="s">
        <v>47</v>
      </c>
      <c r="J25" s="39" t="s">
        <v>47</v>
      </c>
      <c r="K25" s="39" t="s">
        <v>47</v>
      </c>
      <c r="L25" s="39" t="s">
        <v>47</v>
      </c>
      <c r="M25" s="128"/>
    </row>
    <row r="26" spans="2:13" x14ac:dyDescent="0.3">
      <c r="B26" s="46" t="s">
        <v>88</v>
      </c>
      <c r="C26" s="47" t="s">
        <v>47</v>
      </c>
      <c r="D26" s="47" t="s">
        <v>47</v>
      </c>
      <c r="E26" s="47" t="s">
        <v>47</v>
      </c>
      <c r="F26" s="47" t="s">
        <v>47</v>
      </c>
      <c r="G26" s="47" t="s">
        <v>47</v>
      </c>
      <c r="H26" s="47" t="s">
        <v>47</v>
      </c>
      <c r="I26" s="47" t="s">
        <v>47</v>
      </c>
      <c r="J26" s="47" t="s">
        <v>47</v>
      </c>
      <c r="K26" s="47" t="s">
        <v>47</v>
      </c>
      <c r="L26" s="47" t="s">
        <v>47</v>
      </c>
      <c r="M26" s="125"/>
    </row>
    <row r="27" spans="2:13" x14ac:dyDescent="0.3">
      <c r="B27" s="42" t="s">
        <v>99</v>
      </c>
      <c r="C27" s="43">
        <v>20</v>
      </c>
      <c r="D27" s="43">
        <v>20</v>
      </c>
      <c r="E27" s="43">
        <v>20</v>
      </c>
      <c r="F27" s="43">
        <v>20</v>
      </c>
      <c r="G27" s="43">
        <v>20</v>
      </c>
      <c r="H27" s="43">
        <v>20</v>
      </c>
      <c r="I27" s="43">
        <v>20</v>
      </c>
      <c r="J27" s="43">
        <v>20</v>
      </c>
      <c r="K27" s="43">
        <v>20</v>
      </c>
      <c r="L27" s="43">
        <v>20</v>
      </c>
      <c r="M27" s="125"/>
    </row>
    <row r="28" spans="2:13" x14ac:dyDescent="0.3">
      <c r="B28" s="42" t="s">
        <v>100</v>
      </c>
      <c r="C28" s="43">
        <v>2</v>
      </c>
      <c r="D28" s="43">
        <v>2</v>
      </c>
      <c r="E28" s="43">
        <v>2</v>
      </c>
      <c r="F28" s="43">
        <v>2</v>
      </c>
      <c r="G28" s="43">
        <v>2</v>
      </c>
      <c r="H28" s="43">
        <v>2</v>
      </c>
      <c r="I28" s="43">
        <v>2</v>
      </c>
      <c r="J28" s="43">
        <v>2</v>
      </c>
      <c r="K28" s="43">
        <v>2</v>
      </c>
      <c r="L28" s="43">
        <v>2</v>
      </c>
      <c r="M28" s="125"/>
    </row>
    <row r="29" spans="2:13" x14ac:dyDescent="0.3">
      <c r="B29" s="42" t="s">
        <v>101</v>
      </c>
      <c r="C29" s="43">
        <v>15</v>
      </c>
      <c r="D29" s="43">
        <v>15</v>
      </c>
      <c r="E29" s="43">
        <v>15</v>
      </c>
      <c r="F29" s="43">
        <v>15</v>
      </c>
      <c r="G29" s="43">
        <v>15</v>
      </c>
      <c r="H29" s="43">
        <v>15</v>
      </c>
      <c r="I29" s="43">
        <v>15</v>
      </c>
      <c r="J29" s="43">
        <v>15</v>
      </c>
      <c r="K29" s="43">
        <v>15</v>
      </c>
      <c r="L29" s="43">
        <v>15</v>
      </c>
      <c r="M29" s="125"/>
    </row>
    <row r="30" spans="2:13" x14ac:dyDescent="0.3">
      <c r="B30" s="42" t="s">
        <v>102</v>
      </c>
      <c r="C30" s="43">
        <v>8</v>
      </c>
      <c r="D30" s="43">
        <v>8</v>
      </c>
      <c r="E30" s="43">
        <v>8</v>
      </c>
      <c r="F30" s="43">
        <v>8</v>
      </c>
      <c r="G30" s="43">
        <v>8</v>
      </c>
      <c r="H30" s="43">
        <v>8</v>
      </c>
      <c r="I30" s="43">
        <v>8</v>
      </c>
      <c r="J30" s="43">
        <v>8</v>
      </c>
      <c r="K30" s="43">
        <v>8</v>
      </c>
      <c r="L30" s="43">
        <v>8</v>
      </c>
      <c r="M30" s="125"/>
    </row>
    <row r="31" spans="2:13" x14ac:dyDescent="0.3">
      <c r="B31" s="44" t="s">
        <v>103</v>
      </c>
      <c r="C31" s="45">
        <v>12</v>
      </c>
      <c r="D31" s="45">
        <v>12</v>
      </c>
      <c r="E31" s="45">
        <v>12</v>
      </c>
      <c r="F31" s="45">
        <v>12</v>
      </c>
      <c r="G31" s="45">
        <v>12</v>
      </c>
      <c r="H31" s="45">
        <v>12</v>
      </c>
      <c r="I31" s="45">
        <v>12</v>
      </c>
      <c r="J31" s="45">
        <v>12</v>
      </c>
      <c r="K31" s="45">
        <v>12</v>
      </c>
      <c r="L31" s="45">
        <v>12</v>
      </c>
      <c r="M31" s="133" t="s">
        <v>562</v>
      </c>
    </row>
    <row r="32" spans="2:13" x14ac:dyDescent="0.3">
      <c r="B32" s="42" t="s">
        <v>104</v>
      </c>
      <c r="C32" s="43">
        <v>5</v>
      </c>
      <c r="D32" s="43">
        <v>5</v>
      </c>
      <c r="E32" s="43">
        <v>5</v>
      </c>
      <c r="F32" s="43">
        <v>5</v>
      </c>
      <c r="G32" s="43">
        <v>5</v>
      </c>
      <c r="H32" s="43">
        <v>5</v>
      </c>
      <c r="I32" s="43">
        <v>5</v>
      </c>
      <c r="J32" s="43">
        <v>5</v>
      </c>
      <c r="K32" s="43">
        <v>5</v>
      </c>
      <c r="L32" s="43">
        <v>5</v>
      </c>
      <c r="M32" s="125"/>
    </row>
    <row r="33" spans="2:13" x14ac:dyDescent="0.3">
      <c r="B33" s="42" t="s">
        <v>105</v>
      </c>
      <c r="C33" s="43">
        <v>2</v>
      </c>
      <c r="D33" s="43">
        <v>2</v>
      </c>
      <c r="E33" s="43">
        <v>2</v>
      </c>
      <c r="F33" s="43">
        <v>2</v>
      </c>
      <c r="G33" s="43">
        <v>2</v>
      </c>
      <c r="H33" s="43">
        <v>2</v>
      </c>
      <c r="I33" s="43">
        <v>2</v>
      </c>
      <c r="J33" s="43">
        <v>2</v>
      </c>
      <c r="K33" s="43">
        <v>2</v>
      </c>
      <c r="L33" s="43">
        <v>2</v>
      </c>
      <c r="M33" s="125"/>
    </row>
    <row r="34" spans="2:13" x14ac:dyDescent="0.3">
      <c r="B34" s="42" t="s">
        <v>101</v>
      </c>
      <c r="C34" s="43">
        <v>15</v>
      </c>
      <c r="D34" s="43">
        <v>15</v>
      </c>
      <c r="E34" s="43">
        <v>15</v>
      </c>
      <c r="F34" s="43">
        <v>15</v>
      </c>
      <c r="G34" s="43">
        <v>15</v>
      </c>
      <c r="H34" s="43">
        <v>15</v>
      </c>
      <c r="I34" s="43">
        <v>15</v>
      </c>
      <c r="J34" s="43">
        <v>15</v>
      </c>
      <c r="K34" s="43">
        <v>15</v>
      </c>
      <c r="L34" s="43">
        <v>15</v>
      </c>
      <c r="M34" s="125"/>
    </row>
    <row r="35" spans="2:13" x14ac:dyDescent="0.3">
      <c r="B35" s="42" t="s">
        <v>102</v>
      </c>
      <c r="C35" s="43">
        <v>8</v>
      </c>
      <c r="D35" s="43">
        <v>8</v>
      </c>
      <c r="E35" s="43">
        <v>8</v>
      </c>
      <c r="F35" s="43">
        <v>8</v>
      </c>
      <c r="G35" s="43">
        <v>8</v>
      </c>
      <c r="H35" s="43">
        <v>8</v>
      </c>
      <c r="I35" s="43">
        <v>8</v>
      </c>
      <c r="J35" s="43">
        <v>8</v>
      </c>
      <c r="K35" s="43">
        <v>8</v>
      </c>
      <c r="L35" s="43">
        <v>8</v>
      </c>
      <c r="M35" s="125"/>
    </row>
    <row r="36" spans="2:13" x14ac:dyDescent="0.3">
      <c r="B36" s="42" t="s">
        <v>106</v>
      </c>
      <c r="C36" s="43">
        <v>3</v>
      </c>
      <c r="D36" s="43">
        <v>3</v>
      </c>
      <c r="E36" s="43">
        <v>3</v>
      </c>
      <c r="F36" s="43">
        <v>3</v>
      </c>
      <c r="G36" s="43">
        <v>3</v>
      </c>
      <c r="H36" s="43">
        <v>3</v>
      </c>
      <c r="I36" s="43">
        <v>3</v>
      </c>
      <c r="J36" s="43">
        <v>3</v>
      </c>
      <c r="K36" s="43">
        <v>3</v>
      </c>
      <c r="L36" s="43">
        <v>3</v>
      </c>
      <c r="M36" s="125" t="s">
        <v>563</v>
      </c>
    </row>
    <row r="37" spans="2:13" x14ac:dyDescent="0.3">
      <c r="B37" s="46" t="s">
        <v>107</v>
      </c>
      <c r="C37" s="47" t="s">
        <v>47</v>
      </c>
      <c r="D37" s="47" t="s">
        <v>47</v>
      </c>
      <c r="E37" s="47" t="s">
        <v>47</v>
      </c>
      <c r="F37" s="47" t="s">
        <v>47</v>
      </c>
      <c r="G37" s="47" t="s">
        <v>47</v>
      </c>
      <c r="H37" s="47" t="s">
        <v>47</v>
      </c>
      <c r="I37" s="47" t="s">
        <v>47</v>
      </c>
      <c r="J37" s="47" t="s">
        <v>47</v>
      </c>
      <c r="K37" s="47" t="s">
        <v>47</v>
      </c>
      <c r="L37" s="47" t="s">
        <v>47</v>
      </c>
      <c r="M37" s="125"/>
    </row>
    <row r="38" spans="2:13" x14ac:dyDescent="0.3">
      <c r="B38" s="42" t="s">
        <v>108</v>
      </c>
      <c r="C38" s="43">
        <v>5</v>
      </c>
      <c r="D38" s="43">
        <v>5</v>
      </c>
      <c r="E38" s="43">
        <v>5</v>
      </c>
      <c r="F38" s="43">
        <v>5</v>
      </c>
      <c r="G38" s="43">
        <v>5</v>
      </c>
      <c r="H38" s="43">
        <v>5</v>
      </c>
      <c r="I38" s="43">
        <v>5</v>
      </c>
      <c r="J38" s="43">
        <v>5</v>
      </c>
      <c r="K38" s="43">
        <v>5</v>
      </c>
      <c r="L38" s="43">
        <v>5</v>
      </c>
      <c r="M38" s="125"/>
    </row>
    <row r="39" spans="2:13" x14ac:dyDescent="0.3">
      <c r="B39" s="42" t="s">
        <v>109</v>
      </c>
      <c r="C39" s="43">
        <v>1</v>
      </c>
      <c r="D39" s="43">
        <v>1</v>
      </c>
      <c r="E39" s="43">
        <v>1</v>
      </c>
      <c r="F39" s="43">
        <v>1</v>
      </c>
      <c r="G39" s="43">
        <v>1</v>
      </c>
      <c r="H39" s="43">
        <v>1</v>
      </c>
      <c r="I39" s="43">
        <v>1</v>
      </c>
      <c r="J39" s="43">
        <v>1</v>
      </c>
      <c r="K39" s="43">
        <v>1</v>
      </c>
      <c r="L39" s="43">
        <v>1</v>
      </c>
      <c r="M39" s="125"/>
    </row>
    <row r="40" spans="2:13" x14ac:dyDescent="0.3">
      <c r="B40" s="42" t="s">
        <v>101</v>
      </c>
      <c r="C40" s="43">
        <v>15</v>
      </c>
      <c r="D40" s="43">
        <v>15</v>
      </c>
      <c r="E40" s="43">
        <v>15</v>
      </c>
      <c r="F40" s="43">
        <v>15</v>
      </c>
      <c r="G40" s="43">
        <v>15</v>
      </c>
      <c r="H40" s="43">
        <v>15</v>
      </c>
      <c r="I40" s="43">
        <v>15</v>
      </c>
      <c r="J40" s="43">
        <v>15</v>
      </c>
      <c r="K40" s="43">
        <v>15</v>
      </c>
      <c r="L40" s="43">
        <v>15</v>
      </c>
      <c r="M40" s="125"/>
    </row>
    <row r="41" spans="2:13" x14ac:dyDescent="0.3">
      <c r="B41" s="42" t="s">
        <v>102</v>
      </c>
      <c r="C41" s="43">
        <v>8</v>
      </c>
      <c r="D41" s="43">
        <v>8</v>
      </c>
      <c r="E41" s="43">
        <v>8</v>
      </c>
      <c r="F41" s="43">
        <v>8</v>
      </c>
      <c r="G41" s="43">
        <v>8</v>
      </c>
      <c r="H41" s="43">
        <v>8</v>
      </c>
      <c r="I41" s="43">
        <v>8</v>
      </c>
      <c r="J41" s="43">
        <v>8</v>
      </c>
      <c r="K41" s="43">
        <v>8</v>
      </c>
      <c r="L41" s="43">
        <v>8</v>
      </c>
      <c r="M41" s="125"/>
    </row>
    <row r="42" spans="2:13" x14ac:dyDescent="0.3">
      <c r="B42" s="44" t="s">
        <v>103</v>
      </c>
      <c r="C42" s="45">
        <v>12</v>
      </c>
      <c r="D42" s="45">
        <v>12</v>
      </c>
      <c r="E42" s="45">
        <v>12</v>
      </c>
      <c r="F42" s="45">
        <v>12</v>
      </c>
      <c r="G42" s="45">
        <v>12</v>
      </c>
      <c r="H42" s="45">
        <v>12</v>
      </c>
      <c r="I42" s="45">
        <v>12</v>
      </c>
      <c r="J42" s="45">
        <v>12</v>
      </c>
      <c r="K42" s="45">
        <v>12</v>
      </c>
      <c r="L42" s="45">
        <v>12</v>
      </c>
      <c r="M42" s="133" t="s">
        <v>562</v>
      </c>
    </row>
    <row r="43" spans="2:13" x14ac:dyDescent="0.3">
      <c r="B43" s="42" t="s">
        <v>110</v>
      </c>
      <c r="C43" s="43">
        <v>2</v>
      </c>
      <c r="D43" s="43">
        <v>2</v>
      </c>
      <c r="E43" s="43">
        <v>2</v>
      </c>
      <c r="F43" s="43">
        <v>2</v>
      </c>
      <c r="G43" s="43">
        <v>2</v>
      </c>
      <c r="H43" s="43">
        <v>2</v>
      </c>
      <c r="I43" s="43">
        <v>2</v>
      </c>
      <c r="J43" s="43">
        <v>2</v>
      </c>
      <c r="K43" s="43">
        <v>2</v>
      </c>
      <c r="L43" s="43">
        <v>2</v>
      </c>
      <c r="M43" s="125"/>
    </row>
    <row r="44" spans="2:13" x14ac:dyDescent="0.3">
      <c r="B44" s="42" t="s">
        <v>105</v>
      </c>
      <c r="C44" s="43">
        <v>1</v>
      </c>
      <c r="D44" s="43">
        <v>1</v>
      </c>
      <c r="E44" s="43">
        <v>1</v>
      </c>
      <c r="F44" s="43">
        <v>1</v>
      </c>
      <c r="G44" s="43">
        <v>1</v>
      </c>
      <c r="H44" s="43">
        <v>1</v>
      </c>
      <c r="I44" s="43">
        <v>1</v>
      </c>
      <c r="J44" s="43">
        <v>1</v>
      </c>
      <c r="K44" s="43">
        <v>1</v>
      </c>
      <c r="L44" s="43">
        <v>1</v>
      </c>
      <c r="M44" s="125"/>
    </row>
    <row r="45" spans="2:13" x14ac:dyDescent="0.3">
      <c r="B45" s="42" t="s">
        <v>101</v>
      </c>
      <c r="C45" s="43">
        <v>15</v>
      </c>
      <c r="D45" s="43">
        <v>15</v>
      </c>
      <c r="E45" s="43">
        <v>15</v>
      </c>
      <c r="F45" s="43">
        <v>15</v>
      </c>
      <c r="G45" s="43">
        <v>15</v>
      </c>
      <c r="H45" s="43">
        <v>15</v>
      </c>
      <c r="I45" s="43">
        <v>15</v>
      </c>
      <c r="J45" s="43">
        <v>15</v>
      </c>
      <c r="K45" s="43">
        <v>15</v>
      </c>
      <c r="L45" s="43">
        <v>15</v>
      </c>
      <c r="M45" s="125"/>
    </row>
    <row r="46" spans="2:13" x14ac:dyDescent="0.3">
      <c r="B46" s="42" t="s">
        <v>102</v>
      </c>
      <c r="C46" s="43">
        <v>8</v>
      </c>
      <c r="D46" s="43">
        <v>8</v>
      </c>
      <c r="E46" s="43">
        <v>8</v>
      </c>
      <c r="F46" s="43">
        <v>8</v>
      </c>
      <c r="G46" s="43">
        <v>8</v>
      </c>
      <c r="H46" s="43">
        <v>8</v>
      </c>
      <c r="I46" s="43">
        <v>8</v>
      </c>
      <c r="J46" s="43">
        <v>8</v>
      </c>
      <c r="K46" s="43">
        <v>8</v>
      </c>
      <c r="L46" s="43">
        <v>8</v>
      </c>
      <c r="M46" s="125"/>
    </row>
    <row r="47" spans="2:13" x14ac:dyDescent="0.3">
      <c r="B47" s="42" t="s">
        <v>111</v>
      </c>
      <c r="C47" s="43">
        <v>3</v>
      </c>
      <c r="D47" s="43">
        <v>3</v>
      </c>
      <c r="E47" s="43">
        <v>3</v>
      </c>
      <c r="F47" s="43">
        <v>3</v>
      </c>
      <c r="G47" s="43">
        <v>3</v>
      </c>
      <c r="H47" s="43">
        <v>3</v>
      </c>
      <c r="I47" s="43">
        <v>3</v>
      </c>
      <c r="J47" s="43">
        <v>3</v>
      </c>
      <c r="K47" s="43">
        <v>3</v>
      </c>
      <c r="L47" s="43">
        <v>3</v>
      </c>
      <c r="M47" s="125" t="s">
        <v>563</v>
      </c>
    </row>
    <row r="48" spans="2:13" x14ac:dyDescent="0.3">
      <c r="M48" s="125"/>
    </row>
    <row r="49" spans="2:13" x14ac:dyDescent="0.3">
      <c r="B49" s="38" t="s">
        <v>582</v>
      </c>
      <c r="C49" s="39" t="s">
        <v>47</v>
      </c>
      <c r="D49" s="39" t="s">
        <v>47</v>
      </c>
      <c r="E49" s="39" t="s">
        <v>47</v>
      </c>
      <c r="F49" s="39" t="s">
        <v>47</v>
      </c>
      <c r="G49" s="39" t="s">
        <v>47</v>
      </c>
      <c r="H49" s="39" t="s">
        <v>47</v>
      </c>
      <c r="I49" s="39" t="s">
        <v>47</v>
      </c>
      <c r="J49" s="39" t="s">
        <v>47</v>
      </c>
      <c r="K49" s="39" t="s">
        <v>47</v>
      </c>
      <c r="L49" s="39" t="s">
        <v>47</v>
      </c>
      <c r="M49" s="128"/>
    </row>
    <row r="50" spans="2:13" x14ac:dyDescent="0.3">
      <c r="B50" s="148" t="s">
        <v>581</v>
      </c>
      <c r="C50" s="66">
        <v>2</v>
      </c>
      <c r="D50" s="66">
        <v>2</v>
      </c>
      <c r="E50" s="66">
        <v>2</v>
      </c>
      <c r="F50" s="66">
        <v>2</v>
      </c>
      <c r="G50" s="66">
        <v>2</v>
      </c>
      <c r="H50" s="66">
        <v>2</v>
      </c>
      <c r="I50" s="66">
        <v>2</v>
      </c>
      <c r="J50" s="66">
        <v>2</v>
      </c>
      <c r="K50" s="66">
        <v>2</v>
      </c>
      <c r="L50" s="66">
        <v>2</v>
      </c>
      <c r="M50" s="128" t="s">
        <v>580</v>
      </c>
    </row>
    <row r="51" spans="2:13" x14ac:dyDescent="0.3">
      <c r="M51" s="125"/>
    </row>
    <row r="52" spans="2:13" x14ac:dyDescent="0.3">
      <c r="B52" s="38" t="s">
        <v>112</v>
      </c>
      <c r="C52" s="39" t="s">
        <v>47</v>
      </c>
      <c r="D52" s="39" t="s">
        <v>47</v>
      </c>
      <c r="E52" s="39" t="s">
        <v>47</v>
      </c>
      <c r="F52" s="39" t="s">
        <v>47</v>
      </c>
      <c r="G52" s="39" t="s">
        <v>47</v>
      </c>
      <c r="H52" s="39" t="s">
        <v>47</v>
      </c>
      <c r="I52" s="39" t="s">
        <v>47</v>
      </c>
      <c r="J52" s="39" t="s">
        <v>47</v>
      </c>
      <c r="K52" s="39" t="s">
        <v>47</v>
      </c>
      <c r="L52" s="39" t="s">
        <v>47</v>
      </c>
      <c r="M52" s="128"/>
    </row>
    <row r="53" spans="2:13" x14ac:dyDescent="0.3">
      <c r="B53" s="48" t="s">
        <v>113</v>
      </c>
      <c r="C53" s="43">
        <v>50</v>
      </c>
      <c r="D53" s="43">
        <v>50</v>
      </c>
      <c r="E53" s="43">
        <v>50</v>
      </c>
      <c r="F53" s="43">
        <v>50</v>
      </c>
      <c r="G53" s="43">
        <v>50</v>
      </c>
      <c r="H53" s="43">
        <v>50</v>
      </c>
      <c r="I53" s="43">
        <v>50</v>
      </c>
      <c r="J53" s="43">
        <v>50</v>
      </c>
      <c r="K53" s="43">
        <v>50</v>
      </c>
      <c r="L53" s="43">
        <v>50</v>
      </c>
      <c r="M53" s="125"/>
    </row>
    <row r="54" spans="2:13" x14ac:dyDescent="0.3">
      <c r="B54" s="48" t="s">
        <v>114</v>
      </c>
      <c r="C54" s="150">
        <v>0.25</v>
      </c>
      <c r="D54" s="150">
        <v>0.25</v>
      </c>
      <c r="E54" s="150">
        <v>0.25</v>
      </c>
      <c r="F54" s="150">
        <v>0.25</v>
      </c>
      <c r="G54" s="150">
        <v>0.25</v>
      </c>
      <c r="H54" s="150">
        <v>0.25</v>
      </c>
      <c r="I54" s="150">
        <v>0.25</v>
      </c>
      <c r="J54" s="150">
        <v>0.25</v>
      </c>
      <c r="K54" s="150">
        <v>0.25</v>
      </c>
      <c r="L54" s="150">
        <v>0.25</v>
      </c>
      <c r="M54" s="125"/>
    </row>
    <row r="55" spans="2:13" x14ac:dyDescent="0.3">
      <c r="B55" s="40" t="s">
        <v>115</v>
      </c>
      <c r="C55" s="96">
        <v>2</v>
      </c>
      <c r="D55" s="96">
        <v>2</v>
      </c>
      <c r="E55" s="96">
        <v>2</v>
      </c>
      <c r="F55" s="96">
        <v>2</v>
      </c>
      <c r="G55" s="96">
        <v>3</v>
      </c>
      <c r="H55" s="96">
        <v>3</v>
      </c>
      <c r="I55" s="96">
        <v>3</v>
      </c>
      <c r="J55" s="96">
        <v>3</v>
      </c>
      <c r="K55" s="96">
        <v>2</v>
      </c>
      <c r="L55" s="96">
        <v>3</v>
      </c>
      <c r="M55" s="124"/>
    </row>
    <row r="56" spans="2:13" x14ac:dyDescent="0.3">
      <c r="B56" s="53" t="s">
        <v>116</v>
      </c>
      <c r="C56" s="97">
        <v>1</v>
      </c>
      <c r="D56" s="97">
        <v>1</v>
      </c>
      <c r="E56" s="97">
        <v>1</v>
      </c>
      <c r="F56" s="97">
        <v>1</v>
      </c>
      <c r="G56" s="97">
        <v>1</v>
      </c>
      <c r="H56" s="97">
        <v>1</v>
      </c>
      <c r="I56" s="97">
        <v>1</v>
      </c>
      <c r="J56" s="97">
        <v>1</v>
      </c>
      <c r="K56" s="97">
        <v>1</v>
      </c>
      <c r="L56" s="97">
        <v>1</v>
      </c>
      <c r="M56" s="125"/>
    </row>
    <row r="57" spans="2:13" x14ac:dyDescent="0.3">
      <c r="B57" s="48" t="s">
        <v>117</v>
      </c>
      <c r="C57" s="96">
        <v>1</v>
      </c>
      <c r="D57" s="96">
        <v>1</v>
      </c>
      <c r="E57" s="96">
        <v>1</v>
      </c>
      <c r="F57" s="96">
        <v>1</v>
      </c>
      <c r="G57" s="96">
        <v>2</v>
      </c>
      <c r="H57" s="96">
        <v>2</v>
      </c>
      <c r="I57" s="96">
        <v>2</v>
      </c>
      <c r="J57" s="96">
        <v>2</v>
      </c>
      <c r="K57" s="96">
        <v>1</v>
      </c>
      <c r="L57" s="96">
        <v>2</v>
      </c>
      <c r="M57" s="124"/>
    </row>
    <row r="58" spans="2:13" x14ac:dyDescent="0.3">
      <c r="B58" s="53" t="s">
        <v>118</v>
      </c>
      <c r="C58" s="95">
        <v>3</v>
      </c>
      <c r="D58" s="95">
        <v>3</v>
      </c>
      <c r="E58" s="95">
        <v>3</v>
      </c>
      <c r="F58" s="95">
        <v>3</v>
      </c>
      <c r="G58" s="95">
        <v>3</v>
      </c>
      <c r="H58" s="95">
        <v>3</v>
      </c>
      <c r="I58" s="95">
        <v>3</v>
      </c>
      <c r="J58" s="95">
        <v>3</v>
      </c>
      <c r="K58" s="95">
        <v>3</v>
      </c>
      <c r="L58" s="95">
        <v>3</v>
      </c>
      <c r="M58" s="133"/>
    </row>
    <row r="59" spans="2:13" x14ac:dyDescent="0.3">
      <c r="B59" s="48" t="s">
        <v>119</v>
      </c>
      <c r="C59" s="49">
        <v>0</v>
      </c>
      <c r="D59" s="49">
        <v>0</v>
      </c>
      <c r="E59" s="49">
        <v>0</v>
      </c>
      <c r="F59" s="49">
        <v>0</v>
      </c>
      <c r="G59" s="49">
        <v>0</v>
      </c>
      <c r="H59" s="49">
        <v>0</v>
      </c>
      <c r="I59" s="49">
        <v>0</v>
      </c>
      <c r="J59" s="49">
        <v>0</v>
      </c>
      <c r="K59" s="49">
        <v>0</v>
      </c>
      <c r="L59" s="49">
        <v>0</v>
      </c>
      <c r="M59" s="124"/>
    </row>
    <row r="60" spans="2:13" x14ac:dyDescent="0.3">
      <c r="B60" s="53" t="s">
        <v>120</v>
      </c>
      <c r="C60" s="45">
        <v>0</v>
      </c>
      <c r="D60" s="45">
        <v>0</v>
      </c>
      <c r="E60" s="45">
        <v>0</v>
      </c>
      <c r="F60" s="45">
        <v>0</v>
      </c>
      <c r="G60" s="45">
        <v>0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133"/>
    </row>
    <row r="61" spans="2:13" x14ac:dyDescent="0.3">
      <c r="M61" s="125"/>
    </row>
    <row r="62" spans="2:13" x14ac:dyDescent="0.3">
      <c r="B62" s="38" t="s">
        <v>121</v>
      </c>
      <c r="C62" s="39" t="s">
        <v>47</v>
      </c>
      <c r="D62" s="39" t="s">
        <v>47</v>
      </c>
      <c r="E62" s="39" t="s">
        <v>47</v>
      </c>
      <c r="F62" s="39" t="s">
        <v>47</v>
      </c>
      <c r="G62" s="39" t="s">
        <v>47</v>
      </c>
      <c r="H62" s="39" t="s">
        <v>47</v>
      </c>
      <c r="I62" s="39" t="s">
        <v>47</v>
      </c>
      <c r="J62" s="39" t="s">
        <v>47</v>
      </c>
      <c r="K62" s="39" t="s">
        <v>47</v>
      </c>
      <c r="L62" s="39" t="s">
        <v>47</v>
      </c>
      <c r="M62" s="128"/>
    </row>
    <row r="63" spans="2:13" x14ac:dyDescent="0.3">
      <c r="B63" s="50" t="s">
        <v>122</v>
      </c>
      <c r="C63" s="50" t="s">
        <v>47</v>
      </c>
      <c r="D63" s="50" t="s">
        <v>47</v>
      </c>
      <c r="E63" s="50" t="s">
        <v>47</v>
      </c>
      <c r="F63" s="50" t="s">
        <v>47</v>
      </c>
      <c r="G63" s="50" t="s">
        <v>47</v>
      </c>
      <c r="H63" s="50" t="s">
        <v>47</v>
      </c>
      <c r="I63" s="50" t="s">
        <v>47</v>
      </c>
      <c r="J63" s="50" t="s">
        <v>47</v>
      </c>
      <c r="K63" s="50" t="s">
        <v>47</v>
      </c>
      <c r="L63" s="50" t="s">
        <v>47</v>
      </c>
      <c r="M63" s="125"/>
    </row>
    <row r="64" spans="2:13" x14ac:dyDescent="0.3">
      <c r="B64" s="48" t="s">
        <v>123</v>
      </c>
      <c r="C64" s="43">
        <v>20</v>
      </c>
      <c r="D64" s="43">
        <v>20</v>
      </c>
      <c r="E64" s="43">
        <v>20</v>
      </c>
      <c r="F64" s="43">
        <v>20</v>
      </c>
      <c r="G64" s="43">
        <v>20</v>
      </c>
      <c r="H64" s="43">
        <v>20</v>
      </c>
      <c r="I64" s="43">
        <v>20</v>
      </c>
      <c r="J64" s="43">
        <v>20</v>
      </c>
      <c r="K64" s="43">
        <v>20</v>
      </c>
      <c r="L64" s="43">
        <v>20</v>
      </c>
      <c r="M64" s="133"/>
    </row>
    <row r="65" spans="2:13" x14ac:dyDescent="0.3">
      <c r="B65" s="48" t="s">
        <v>124</v>
      </c>
      <c r="C65" s="150">
        <v>0</v>
      </c>
      <c r="D65" s="150">
        <v>0</v>
      </c>
      <c r="E65" s="150">
        <v>0</v>
      </c>
      <c r="F65" s="150">
        <v>0</v>
      </c>
      <c r="G65" s="150">
        <v>0</v>
      </c>
      <c r="H65" s="150">
        <v>0</v>
      </c>
      <c r="I65" s="150">
        <v>0</v>
      </c>
      <c r="J65" s="150">
        <v>0</v>
      </c>
      <c r="K65" s="150">
        <v>0</v>
      </c>
      <c r="L65" s="150">
        <v>0</v>
      </c>
      <c r="M65" s="125"/>
    </row>
    <row r="66" spans="2:13" x14ac:dyDescent="0.3">
      <c r="B66" s="48" t="s">
        <v>125</v>
      </c>
      <c r="C66" s="43">
        <v>5</v>
      </c>
      <c r="D66" s="43">
        <v>5</v>
      </c>
      <c r="E66" s="43">
        <v>5</v>
      </c>
      <c r="F66" s="43">
        <v>5</v>
      </c>
      <c r="G66" s="43">
        <v>5</v>
      </c>
      <c r="H66" s="43">
        <v>5</v>
      </c>
      <c r="I66" s="43">
        <v>5</v>
      </c>
      <c r="J66" s="43">
        <v>5</v>
      </c>
      <c r="K66" s="43">
        <v>5</v>
      </c>
      <c r="L66" s="43">
        <v>5</v>
      </c>
      <c r="M66" s="125" t="s">
        <v>126</v>
      </c>
    </row>
    <row r="67" spans="2:13" x14ac:dyDescent="0.3">
      <c r="B67" s="53" t="s">
        <v>127</v>
      </c>
      <c r="C67" s="45">
        <v>5</v>
      </c>
      <c r="D67" s="45">
        <v>5</v>
      </c>
      <c r="E67" s="45">
        <v>5</v>
      </c>
      <c r="F67" s="45">
        <v>5</v>
      </c>
      <c r="G67" s="45">
        <v>5</v>
      </c>
      <c r="H67" s="45">
        <v>5</v>
      </c>
      <c r="I67" s="45">
        <v>5</v>
      </c>
      <c r="J67" s="45">
        <v>5</v>
      </c>
      <c r="K67" s="45">
        <v>5</v>
      </c>
      <c r="L67" s="45">
        <v>5</v>
      </c>
      <c r="M67" s="133" t="s">
        <v>565</v>
      </c>
    </row>
    <row r="68" spans="2:13" x14ac:dyDescent="0.3">
      <c r="B68" s="50" t="s">
        <v>34</v>
      </c>
      <c r="C68" s="50" t="s">
        <v>47</v>
      </c>
      <c r="D68" s="50" t="s">
        <v>47</v>
      </c>
      <c r="E68" s="50" t="s">
        <v>47</v>
      </c>
      <c r="F68" s="50" t="s">
        <v>47</v>
      </c>
      <c r="G68" s="50" t="s">
        <v>47</v>
      </c>
      <c r="H68" s="50" t="s">
        <v>47</v>
      </c>
      <c r="I68" s="50" t="s">
        <v>47</v>
      </c>
      <c r="J68" s="50" t="s">
        <v>47</v>
      </c>
      <c r="K68" s="50" t="s">
        <v>47</v>
      </c>
      <c r="L68" s="50" t="s">
        <v>47</v>
      </c>
      <c r="M68" s="125"/>
    </row>
    <row r="69" spans="2:13" ht="14.4" customHeight="1" x14ac:dyDescent="0.3">
      <c r="B69" s="40" t="s">
        <v>128</v>
      </c>
      <c r="C69" s="43">
        <v>5</v>
      </c>
      <c r="D69" s="43">
        <v>5</v>
      </c>
      <c r="E69" s="43">
        <v>5</v>
      </c>
      <c r="F69" s="43">
        <v>5</v>
      </c>
      <c r="G69" s="43">
        <v>5</v>
      </c>
      <c r="H69" s="43">
        <v>5</v>
      </c>
      <c r="I69" s="43">
        <v>5</v>
      </c>
      <c r="J69" s="43">
        <v>5</v>
      </c>
      <c r="K69" s="43">
        <v>5</v>
      </c>
      <c r="L69" s="43">
        <v>5</v>
      </c>
      <c r="M69" s="125"/>
    </row>
    <row r="70" spans="2:13" ht="13.2" customHeight="1" x14ac:dyDescent="0.3">
      <c r="B70" s="53" t="s">
        <v>129</v>
      </c>
      <c r="C70" s="45">
        <v>2</v>
      </c>
      <c r="D70" s="45">
        <v>2</v>
      </c>
      <c r="E70" s="45">
        <v>2</v>
      </c>
      <c r="F70" s="45">
        <v>2</v>
      </c>
      <c r="G70" s="45">
        <v>2</v>
      </c>
      <c r="H70" s="45">
        <v>2</v>
      </c>
      <c r="I70" s="45">
        <v>2</v>
      </c>
      <c r="J70" s="45">
        <v>2</v>
      </c>
      <c r="K70" s="45">
        <v>2</v>
      </c>
      <c r="L70" s="45">
        <v>2</v>
      </c>
      <c r="M70" s="133"/>
    </row>
    <row r="71" spans="2:13" x14ac:dyDescent="0.3">
      <c r="M71" s="125"/>
    </row>
    <row r="72" spans="2:13" x14ac:dyDescent="0.3">
      <c r="B72" s="38" t="s">
        <v>37</v>
      </c>
      <c r="C72" s="39" t="s">
        <v>47</v>
      </c>
      <c r="D72" s="39" t="s">
        <v>47</v>
      </c>
      <c r="E72" s="39" t="s">
        <v>47</v>
      </c>
      <c r="F72" s="39" t="s">
        <v>47</v>
      </c>
      <c r="G72" s="39" t="s">
        <v>47</v>
      </c>
      <c r="H72" s="39" t="s">
        <v>47</v>
      </c>
      <c r="I72" s="39" t="s">
        <v>47</v>
      </c>
      <c r="J72" s="39" t="s">
        <v>47</v>
      </c>
      <c r="K72" s="39" t="s">
        <v>47</v>
      </c>
      <c r="L72" s="39" t="s">
        <v>47</v>
      </c>
      <c r="M72" s="128"/>
    </row>
    <row r="73" spans="2:13" x14ac:dyDescent="0.3">
      <c r="B73" s="50" t="s">
        <v>122</v>
      </c>
      <c r="C73" s="50" t="s">
        <v>47</v>
      </c>
      <c r="D73" s="50" t="s">
        <v>47</v>
      </c>
      <c r="E73" s="50" t="s">
        <v>47</v>
      </c>
      <c r="F73" s="50" t="s">
        <v>47</v>
      </c>
      <c r="G73" s="50" t="s">
        <v>47</v>
      </c>
      <c r="H73" s="50" t="s">
        <v>47</v>
      </c>
      <c r="I73" s="50" t="s">
        <v>47</v>
      </c>
      <c r="J73" s="50" t="s">
        <v>47</v>
      </c>
      <c r="K73" s="50" t="s">
        <v>47</v>
      </c>
      <c r="L73" s="50" t="s">
        <v>47</v>
      </c>
      <c r="M73" s="125"/>
    </row>
    <row r="74" spans="2:13" x14ac:dyDescent="0.3">
      <c r="B74" s="48" t="s">
        <v>130</v>
      </c>
      <c r="C74" s="97">
        <v>20</v>
      </c>
      <c r="D74" s="97">
        <v>20</v>
      </c>
      <c r="E74" s="97">
        <v>20</v>
      </c>
      <c r="F74" s="97">
        <v>20</v>
      </c>
      <c r="G74" s="97">
        <v>20</v>
      </c>
      <c r="H74" s="97">
        <v>20</v>
      </c>
      <c r="I74" s="97">
        <v>20</v>
      </c>
      <c r="J74" s="97">
        <v>20</v>
      </c>
      <c r="K74" s="97">
        <v>20</v>
      </c>
      <c r="L74" s="97">
        <v>20</v>
      </c>
      <c r="M74" s="125"/>
    </row>
    <row r="75" spans="2:13" x14ac:dyDescent="0.3">
      <c r="B75" s="48" t="s">
        <v>40</v>
      </c>
      <c r="C75" s="97">
        <v>1</v>
      </c>
      <c r="D75" s="97">
        <v>1</v>
      </c>
      <c r="E75" s="97">
        <v>1</v>
      </c>
      <c r="F75" s="97">
        <v>5</v>
      </c>
      <c r="G75" s="97">
        <v>1</v>
      </c>
      <c r="H75" s="97">
        <v>1</v>
      </c>
      <c r="I75" s="97">
        <v>1</v>
      </c>
      <c r="J75" s="97">
        <v>5</v>
      </c>
      <c r="K75" s="97">
        <v>1</v>
      </c>
      <c r="L75" s="163">
        <v>1</v>
      </c>
      <c r="M75" s="164"/>
    </row>
    <row r="76" spans="2:13" x14ac:dyDescent="0.3">
      <c r="B76" s="53" t="s">
        <v>131</v>
      </c>
      <c r="C76" s="95">
        <v>5</v>
      </c>
      <c r="D76" s="95">
        <v>5</v>
      </c>
      <c r="E76" s="95">
        <v>5</v>
      </c>
      <c r="F76" s="95">
        <v>5</v>
      </c>
      <c r="G76" s="95">
        <v>5</v>
      </c>
      <c r="H76" s="95">
        <v>5</v>
      </c>
      <c r="I76" s="95">
        <v>5</v>
      </c>
      <c r="J76" s="95">
        <v>5</v>
      </c>
      <c r="K76" s="95">
        <v>5</v>
      </c>
      <c r="L76" s="95">
        <v>5</v>
      </c>
      <c r="M76" s="133"/>
    </row>
    <row r="77" spans="2:13" x14ac:dyDescent="0.3">
      <c r="B77" s="50" t="s">
        <v>132</v>
      </c>
      <c r="C77" s="50" t="s">
        <v>47</v>
      </c>
      <c r="D77" s="50" t="s">
        <v>47</v>
      </c>
      <c r="E77" s="50" t="s">
        <v>47</v>
      </c>
      <c r="F77" s="50" t="s">
        <v>47</v>
      </c>
      <c r="G77" s="50" t="s">
        <v>47</v>
      </c>
      <c r="H77" s="50" t="s">
        <v>47</v>
      </c>
      <c r="I77" s="50" t="s">
        <v>47</v>
      </c>
      <c r="J77" s="50" t="s">
        <v>47</v>
      </c>
      <c r="K77" s="50" t="s">
        <v>47</v>
      </c>
      <c r="L77" s="50" t="s">
        <v>47</v>
      </c>
      <c r="M77" s="125" t="s">
        <v>47</v>
      </c>
    </row>
    <row r="78" spans="2:13" x14ac:dyDescent="0.3">
      <c r="B78" s="48" t="s">
        <v>133</v>
      </c>
      <c r="C78" s="97">
        <v>0</v>
      </c>
      <c r="D78" s="97">
        <v>0</v>
      </c>
      <c r="E78" s="97">
        <v>0</v>
      </c>
      <c r="F78" s="97">
        <v>40</v>
      </c>
      <c r="G78" s="97">
        <v>0</v>
      </c>
      <c r="H78" s="97">
        <v>0</v>
      </c>
      <c r="I78" s="97">
        <v>0</v>
      </c>
      <c r="J78" s="97">
        <v>40</v>
      </c>
      <c r="K78" s="97">
        <v>0</v>
      </c>
      <c r="L78" s="97">
        <v>0</v>
      </c>
      <c r="M78" s="125"/>
    </row>
    <row r="79" spans="2:13" x14ac:dyDescent="0.3">
      <c r="B79" s="48" t="s">
        <v>124</v>
      </c>
      <c r="C79" s="151">
        <v>0</v>
      </c>
      <c r="D79" s="151">
        <v>0</v>
      </c>
      <c r="E79" s="151">
        <v>0</v>
      </c>
      <c r="F79" s="151">
        <v>0</v>
      </c>
      <c r="G79" s="151">
        <v>0</v>
      </c>
      <c r="H79" s="151">
        <v>0</v>
      </c>
      <c r="I79" s="151">
        <v>0</v>
      </c>
      <c r="J79" s="151">
        <v>0</v>
      </c>
      <c r="K79" s="151">
        <v>0</v>
      </c>
      <c r="L79" s="151">
        <v>0</v>
      </c>
      <c r="M79" s="125"/>
    </row>
    <row r="80" spans="2:13" x14ac:dyDescent="0.3">
      <c r="B80" s="40" t="s">
        <v>115</v>
      </c>
      <c r="C80" s="96">
        <v>2</v>
      </c>
      <c r="D80" s="96">
        <v>2</v>
      </c>
      <c r="E80" s="96">
        <v>2</v>
      </c>
      <c r="F80" s="96">
        <v>2</v>
      </c>
      <c r="G80" s="96">
        <v>2</v>
      </c>
      <c r="H80" s="96">
        <v>2</v>
      </c>
      <c r="I80" s="96">
        <v>2</v>
      </c>
      <c r="J80" s="96">
        <v>2</v>
      </c>
      <c r="K80" s="96">
        <v>2</v>
      </c>
      <c r="L80" s="96">
        <v>2</v>
      </c>
      <c r="M80" s="124"/>
    </row>
    <row r="81" spans="2:13" x14ac:dyDescent="0.3">
      <c r="B81" s="53" t="s">
        <v>116</v>
      </c>
      <c r="C81" s="97">
        <v>0</v>
      </c>
      <c r="D81" s="97">
        <v>0</v>
      </c>
      <c r="E81" s="97">
        <v>0</v>
      </c>
      <c r="F81" s="97">
        <v>1</v>
      </c>
      <c r="G81" s="97">
        <v>0</v>
      </c>
      <c r="H81" s="97">
        <v>0</v>
      </c>
      <c r="I81" s="97">
        <v>0</v>
      </c>
      <c r="J81" s="97">
        <v>1</v>
      </c>
      <c r="K81" s="97">
        <v>0</v>
      </c>
      <c r="L81" s="97">
        <v>0</v>
      </c>
      <c r="M81" s="125"/>
    </row>
    <row r="82" spans="2:13" x14ac:dyDescent="0.3">
      <c r="B82" s="48" t="s">
        <v>134</v>
      </c>
      <c r="C82" s="96">
        <v>0</v>
      </c>
      <c r="D82" s="96">
        <v>0</v>
      </c>
      <c r="E82" s="96">
        <v>0</v>
      </c>
      <c r="F82" s="96">
        <v>1</v>
      </c>
      <c r="G82" s="96">
        <v>0</v>
      </c>
      <c r="H82" s="96">
        <v>0</v>
      </c>
      <c r="I82" s="96">
        <v>0</v>
      </c>
      <c r="J82" s="96">
        <v>1</v>
      </c>
      <c r="K82" s="96">
        <v>0</v>
      </c>
      <c r="L82" s="96">
        <v>0</v>
      </c>
      <c r="M82" s="124"/>
    </row>
    <row r="83" spans="2:13" x14ac:dyDescent="0.3">
      <c r="B83" s="53" t="s">
        <v>135</v>
      </c>
      <c r="C83" s="95">
        <v>0</v>
      </c>
      <c r="D83" s="95">
        <v>0</v>
      </c>
      <c r="E83" s="95">
        <v>0</v>
      </c>
      <c r="F83" s="95">
        <v>3</v>
      </c>
      <c r="G83" s="95">
        <v>0</v>
      </c>
      <c r="H83" s="95">
        <v>0</v>
      </c>
      <c r="I83" s="95">
        <v>0</v>
      </c>
      <c r="J83" s="95">
        <v>3</v>
      </c>
      <c r="K83" s="95">
        <v>0</v>
      </c>
      <c r="L83" s="95">
        <v>0</v>
      </c>
      <c r="M83" s="133"/>
    </row>
  </sheetData>
  <phoneticPr fontId="21" type="noConversion"/>
  <conditionalFormatting sqref="C27:M36">
    <cfRule type="expression" dxfId="1" priority="1">
      <formula>#REF!="No"</formula>
    </cfRule>
  </conditionalFormatting>
  <conditionalFormatting sqref="C38:M47">
    <cfRule type="expression" dxfId="0" priority="2">
      <formula>#REF!="No"</formula>
    </cfRule>
  </conditionalFormatting>
  <dataValidations count="12">
    <dataValidation allowBlank="1" showInputMessage="1" showErrorMessage="1" promptTitle="Note" prompt="One validation workshop must take place for each language for which materials were developed." sqref="B28 B39" xr:uid="{1E711462-920D-434A-8670-D666AE245451}"/>
    <dataValidation type="list" allowBlank="1" showInputMessage="1" showErrorMessage="1" sqref="C78:L79" xr:uid="{F114FE4D-3E1B-4F1A-9DAA-6751E47DD43E}">
      <formula1>HybridRatio</formula1>
    </dataValidation>
    <dataValidation type="list" allowBlank="1" showInputMessage="1" showErrorMessage="1" sqref="C71:L72 C61:L62 C51:L52" xr:uid="{A05E0F12-840F-49A5-9962-065F9FE6E9C0}">
      <formula1>Small_percentage</formula1>
    </dataValidation>
    <dataValidation type="whole" allowBlank="1" showInputMessage="1" showErrorMessage="1" sqref="C80:L80" xr:uid="{D899AE7D-8366-4350-8ABE-56C6BD65570D}">
      <formula1>2</formula1>
      <formula2>10</formula2>
    </dataValidation>
    <dataValidation type="whole" operator="greaterThanOrEqual" allowBlank="1" showInputMessage="1" showErrorMessage="1" sqref="C81:L83 C56:L60 C18:L19 C27:L36 C38:L47" xr:uid="{2CD49412-1E8B-4CCC-97A0-00E08E3B993E}">
      <formula1>0</formula1>
    </dataValidation>
    <dataValidation type="whole" allowBlank="1" showInputMessage="1" showErrorMessage="1" sqref="C9:L9" xr:uid="{33B4339C-D9A2-4ACB-ACC1-FEBAACFB81F9}">
      <formula1>1</formula1>
      <formula2>7</formula2>
    </dataValidation>
    <dataValidation type="whole" operator="greaterThan" allowBlank="1" showInputMessage="1" showErrorMessage="1" sqref="C50:L50" xr:uid="{6B9529E0-E022-41F6-999A-F0EF17F22B35}">
      <formula1>0</formula1>
    </dataValidation>
    <dataValidation type="whole" operator="greaterThanOrEqual" allowBlank="1" showInputMessage="1" showErrorMessage="1" sqref="C55:L55" xr:uid="{905A5297-BBE4-4BE7-B3C7-A62E7F09EB27}">
      <formula1>2</formula1>
    </dataValidation>
    <dataValidation type="whole" operator="greaterThanOrEqual" allowBlank="1" showInputMessage="1" showErrorMessage="1" sqref="C75:L76 C53:L53 C66:L67" xr:uid="{66D51ABD-A3CC-4FEA-BFD1-34B243549116}">
      <formula1>1</formula1>
    </dataValidation>
    <dataValidation type="whole" operator="greaterThanOrEqual" allowBlank="1" showInputMessage="1" showErrorMessage="1" promptTitle="Note" prompt="More than one day assumes residential training" sqref="C69:L69" xr:uid="{B3796226-7664-4084-B6AD-FC5AF17D7695}">
      <formula1>2</formula1>
    </dataValidation>
    <dataValidation type="whole" operator="greaterThanOrEqual" allowBlank="1" showInputMessage="1" showErrorMessage="1" promptTitle="Note" prompt="More than one day assumes residential training" sqref="C70:L70" xr:uid="{7D6F5E35-5339-40D3-A08B-A263C5DC314F}">
      <formula1>1</formula1>
    </dataValidation>
    <dataValidation type="decimal" allowBlank="1" showInputMessage="1" showErrorMessage="1" sqref="C54:L54 C65:L65 C79:L79" xr:uid="{522B960D-75C3-46D5-BFA6-E3CFABE20F82}">
      <formula1>0</formula1>
      <formula2>1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A0384E34-2144-4947-B1A8-7981B509026F}">
          <x14:formula1>
            <xm:f>Lists!$Q$2:$Q$11</xm:f>
          </x14:formula1>
          <xm:sqref>C21:L22</xm:sqref>
        </x14:dataValidation>
        <x14:dataValidation type="list" allowBlank="1" showInputMessage="1" showErrorMessage="1" xr:uid="{77CE8986-1EEE-4EBE-ACFA-1613EFC987AE}">
          <x14:formula1>
            <xm:f>Lists!$D$2:$D$3</xm:f>
          </x14:formula1>
          <xm:sqref>C13:L13 C11:L11 C6:L8</xm:sqref>
        </x14:dataValidation>
        <x14:dataValidation type="list" allowBlank="1" showInputMessage="1" showErrorMessage="1" xr:uid="{FD207AC1-40CD-4C26-B679-6FEEE01799FD}">
          <x14:formula1>
            <xm:f>Lists!$C$2:$C$11</xm:f>
          </x14:formula1>
          <xm:sqref>C66:L67 C18:L19 C75:L76</xm:sqref>
        </x14:dataValidation>
        <x14:dataValidation type="list" allowBlank="1" showInputMessage="1" showErrorMessage="1" xr:uid="{668D3702-7E2C-4AB3-A043-4F47437E1601}">
          <x14:formula1>
            <xm:f>Lists!$X$2:$X$3</xm:f>
          </x14:formula1>
          <xm:sqref>C10:L11</xm:sqref>
        </x14:dataValidation>
        <x14:dataValidation type="list" allowBlank="1" showInputMessage="1" showErrorMessage="1" xr:uid="{D0961D8C-42FA-4F29-9CCD-B54302074972}">
          <x14:formula1>
            <xm:f>Lists!$AB$2:$AB$4</xm:f>
          </x14:formula1>
          <xm:sqref>C12:L13</xm:sqref>
        </x14:dataValidation>
        <x14:dataValidation type="list" allowBlank="1" showInputMessage="1" showErrorMessage="1" xr:uid="{AD0A05E2-317E-480B-8009-2DD31E7A0E56}">
          <x14:formula1>
            <xm:f>Lists!$AC$2:$AC$7</xm:f>
          </x14:formula1>
          <xm:sqref>C23:L23</xm:sqref>
        </x14:dataValidation>
        <x14:dataValidation type="list" allowBlank="1" showInputMessage="1" showErrorMessage="1" xr:uid="{28EB3D7E-CB3D-4C6F-B401-2BE1CD0682C5}">
          <x14:formula1>
            <xm:f>Lists!$S$2:$S$18</xm:f>
          </x14:formula1>
          <xm:sqref>C64:L64 C74:L74</xm:sqref>
        </x14:dataValidation>
        <x14:dataValidation type="list" allowBlank="1" showInputMessage="1" showErrorMessage="1" xr:uid="{C8175DC6-7524-48AA-A01C-3217C85310E1}">
          <x14:formula1>
            <xm:f>Lists!AG$2:AG$4</xm:f>
          </x14:formula1>
          <xm:sqref>D12:F12 H12:J12</xm:sqref>
        </x14:dataValidation>
        <x14:dataValidation type="list" allowBlank="1" showInputMessage="1" showErrorMessage="1" xr:uid="{087ADF0E-2CBF-40A4-8637-E178619C1102}">
          <x14:formula1>
            <xm:f>Lists!AJ$2:AJ$4</xm:f>
          </x14:formula1>
          <xm:sqref>L12</xm:sqref>
        </x14:dataValidation>
        <x14:dataValidation type="list" allowBlank="1" showInputMessage="1" showErrorMessage="1" xr:uid="{1F2F7B11-D38C-453B-AB0E-45396B22770D}">
          <x14:formula1>
            <xm:f>Lists!AH$2:AH$4</xm:f>
          </x14:formula1>
          <xm:sqref>K12</xm:sqref>
        </x14:dataValidation>
        <x14:dataValidation type="list" allowBlank="1" showInputMessage="1" showErrorMessage="1" xr:uid="{20D31CC5-EC00-48AF-98EE-AD203FAA566D}">
          <x14:formula1>
            <xm:f>Lists!AI$2:AI$4</xm:f>
          </x14:formula1>
          <xm:sqref>G12</xm:sqref>
        </x14:dataValidation>
        <x14:dataValidation type="list" allowBlank="1" showInputMessage="1" showErrorMessage="1" xr:uid="{1D97A1B6-9C6F-4CDC-B50C-1E31AD4F48E9}">
          <x14:formula1>
            <xm:f>Lists!AB$2:AB$4</xm:f>
          </x14:formula1>
          <xm:sqref>C12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4C8E1-E209-4C59-909D-FC5D954C8A6E}">
  <sheetPr>
    <tabColor theme="8" tint="-0.499984740745262"/>
  </sheetPr>
  <dimension ref="A1:J45"/>
  <sheetViews>
    <sheetView zoomScale="62" zoomScaleNormal="131" workbookViewId="0">
      <selection activeCell="G18" sqref="G18"/>
    </sheetView>
  </sheetViews>
  <sheetFormatPr defaultColWidth="9.6640625" defaultRowHeight="14.4" x14ac:dyDescent="0.3"/>
  <cols>
    <col min="1" max="1" width="34.5546875" style="2" customWidth="1"/>
    <col min="2" max="2" width="32.44140625" style="2" customWidth="1"/>
    <col min="3" max="3" width="49" style="2" bestFit="1" customWidth="1"/>
    <col min="4" max="4" width="29.33203125" style="2" customWidth="1"/>
    <col min="5" max="5" width="11.6640625" style="2" customWidth="1"/>
    <col min="6" max="6" width="28.109375" style="2" bestFit="1" customWidth="1"/>
    <col min="7" max="7" width="30" style="2" bestFit="1" customWidth="1"/>
    <col min="8" max="8" width="47.6640625" style="2" customWidth="1"/>
    <col min="9" max="9" width="37.6640625" style="2" bestFit="1" customWidth="1"/>
    <col min="10" max="10" width="85.5546875" style="2" customWidth="1"/>
    <col min="11" max="16384" width="9.6640625" style="2"/>
  </cols>
  <sheetData>
    <row r="1" spans="1:10" x14ac:dyDescent="0.3">
      <c r="A1" s="1" t="s">
        <v>136</v>
      </c>
      <c r="B1" s="1" t="s">
        <v>137</v>
      </c>
      <c r="C1" s="1" t="s">
        <v>138</v>
      </c>
      <c r="D1" s="1" t="s">
        <v>139</v>
      </c>
      <c r="E1" s="1" t="s">
        <v>140</v>
      </c>
      <c r="F1" s="1" t="s">
        <v>141</v>
      </c>
      <c r="G1" s="20" t="s">
        <v>142</v>
      </c>
      <c r="H1" s="1"/>
      <c r="I1" s="1" t="s">
        <v>143</v>
      </c>
      <c r="J1" s="1" t="s">
        <v>144</v>
      </c>
    </row>
    <row r="2" spans="1:10" x14ac:dyDescent="0.3">
      <c r="A2" s="3" t="s">
        <v>145</v>
      </c>
      <c r="B2" s="4"/>
      <c r="C2" s="4"/>
      <c r="D2" s="4"/>
      <c r="E2" s="4"/>
      <c r="F2" s="4"/>
      <c r="G2" s="18"/>
      <c r="H2" s="4"/>
      <c r="I2" s="4"/>
      <c r="J2" s="4"/>
    </row>
    <row r="3" spans="1:10" x14ac:dyDescent="0.3">
      <c r="A3" s="2" t="s">
        <v>146</v>
      </c>
      <c r="B3" s="2" t="s">
        <v>147</v>
      </c>
      <c r="C3" s="2" t="s">
        <v>148</v>
      </c>
      <c r="D3" s="2" t="s">
        <v>149</v>
      </c>
      <c r="E3" s="2">
        <v>1</v>
      </c>
      <c r="F3" s="5">
        <v>3000</v>
      </c>
      <c r="G3" s="178">
        <f>ROUND(F3*'Inflation ZAR'!$P$10,0)</f>
        <v>3872</v>
      </c>
      <c r="H3" s="2" t="s">
        <v>150</v>
      </c>
      <c r="I3" s="2" t="s">
        <v>151</v>
      </c>
      <c r="J3" s="2" t="s">
        <v>178</v>
      </c>
    </row>
    <row r="4" spans="1:10" x14ac:dyDescent="0.3">
      <c r="A4" s="2" t="s">
        <v>146</v>
      </c>
      <c r="B4" s="2" t="s">
        <v>152</v>
      </c>
      <c r="C4" s="2" t="s">
        <v>148</v>
      </c>
      <c r="D4" s="2" t="s">
        <v>153</v>
      </c>
      <c r="E4" s="2">
        <v>1</v>
      </c>
      <c r="F4" s="5">
        <v>3000</v>
      </c>
      <c r="G4" s="178">
        <f>ROUND(F4*'Inflation ZAR'!$P$10,0)</f>
        <v>3872</v>
      </c>
      <c r="H4" s="2" t="s">
        <v>154</v>
      </c>
      <c r="I4" s="2" t="s">
        <v>151</v>
      </c>
      <c r="J4" s="2" t="s">
        <v>178</v>
      </c>
    </row>
    <row r="5" spans="1:10" x14ac:dyDescent="0.3">
      <c r="A5" s="2" t="s">
        <v>146</v>
      </c>
      <c r="B5" s="2" t="s">
        <v>152</v>
      </c>
      <c r="C5" s="2" t="s">
        <v>155</v>
      </c>
      <c r="D5" s="2" t="s">
        <v>156</v>
      </c>
      <c r="E5" s="2">
        <v>1</v>
      </c>
      <c r="F5" s="5">
        <v>500</v>
      </c>
      <c r="G5" s="178">
        <f>ROUND(F5*'Inflation ZAR'!$P$10,0)</f>
        <v>645</v>
      </c>
      <c r="H5" s="2" t="s">
        <v>157</v>
      </c>
      <c r="I5" s="2" t="s">
        <v>158</v>
      </c>
      <c r="J5" s="2" t="s">
        <v>159</v>
      </c>
    </row>
    <row r="6" spans="1:10" x14ac:dyDescent="0.3">
      <c r="A6" s="2" t="s">
        <v>146</v>
      </c>
      <c r="B6" s="2" t="s">
        <v>152</v>
      </c>
      <c r="C6" s="2" t="s">
        <v>160</v>
      </c>
      <c r="D6" s="2" t="s">
        <v>161</v>
      </c>
      <c r="E6" s="2">
        <v>1</v>
      </c>
      <c r="F6" s="5">
        <v>885.1</v>
      </c>
      <c r="G6" s="178">
        <f>ROUND(F6*'Inflation ZAR'!$P$10,0)</f>
        <v>1142</v>
      </c>
      <c r="H6" s="2" t="s">
        <v>162</v>
      </c>
      <c r="I6" s="2" t="s">
        <v>158</v>
      </c>
      <c r="J6" s="2" t="s">
        <v>163</v>
      </c>
    </row>
    <row r="7" spans="1:10" x14ac:dyDescent="0.3">
      <c r="A7" s="2" t="s">
        <v>146</v>
      </c>
      <c r="B7" s="2" t="s">
        <v>152</v>
      </c>
      <c r="C7" s="2" t="s">
        <v>164</v>
      </c>
      <c r="D7" s="2" t="s">
        <v>165</v>
      </c>
      <c r="E7" s="2">
        <v>1</v>
      </c>
      <c r="F7" s="5">
        <v>3500</v>
      </c>
      <c r="G7" s="178">
        <f>ROUND(F7*'Inflation ZAR'!$P$10,0)</f>
        <v>4517</v>
      </c>
      <c r="H7" s="2" t="s">
        <v>166</v>
      </c>
      <c r="I7" s="2" t="s">
        <v>167</v>
      </c>
      <c r="J7" s="2" t="s">
        <v>168</v>
      </c>
    </row>
    <row r="8" spans="1:10" ht="15" customHeight="1" x14ac:dyDescent="0.3">
      <c r="A8" s="2" t="s">
        <v>169</v>
      </c>
      <c r="B8" s="2" t="s">
        <v>170</v>
      </c>
      <c r="C8" s="2" t="s">
        <v>171</v>
      </c>
      <c r="D8" s="2" t="s">
        <v>172</v>
      </c>
      <c r="E8" s="2">
        <v>1</v>
      </c>
      <c r="F8" s="5">
        <v>600000</v>
      </c>
      <c r="G8" s="178">
        <f>ROUND(F8*'Inflation ZAR'!$P$10,0)</f>
        <v>774376</v>
      </c>
      <c r="H8" s="2" t="s">
        <v>173</v>
      </c>
      <c r="I8" s="2" t="s">
        <v>174</v>
      </c>
      <c r="J8" s="2" t="s">
        <v>175</v>
      </c>
    </row>
    <row r="9" spans="1:10" x14ac:dyDescent="0.3">
      <c r="A9" s="2" t="s">
        <v>169</v>
      </c>
      <c r="B9" s="2" t="s">
        <v>176</v>
      </c>
      <c r="C9" s="2" t="s">
        <v>177</v>
      </c>
      <c r="D9" s="2" t="s">
        <v>172</v>
      </c>
      <c r="E9" s="2">
        <v>1</v>
      </c>
      <c r="F9" s="5">
        <v>31705</v>
      </c>
      <c r="G9" s="178">
        <f>ROUND(F9*'Inflation ZAR'!$P$10,0)</f>
        <v>40919</v>
      </c>
      <c r="H9" s="2" t="s">
        <v>173</v>
      </c>
      <c r="I9" s="2" t="s">
        <v>174</v>
      </c>
      <c r="J9" s="2" t="s">
        <v>178</v>
      </c>
    </row>
    <row r="10" spans="1:10" ht="15" customHeight="1" x14ac:dyDescent="0.3">
      <c r="A10" s="2" t="s">
        <v>179</v>
      </c>
      <c r="B10" s="2" t="s">
        <v>180</v>
      </c>
      <c r="C10" s="2" t="s">
        <v>181</v>
      </c>
      <c r="D10" s="2" t="s">
        <v>182</v>
      </c>
      <c r="E10" s="2">
        <v>1</v>
      </c>
      <c r="F10" s="5"/>
      <c r="G10" s="178">
        <v>150000</v>
      </c>
      <c r="H10" s="2" t="s">
        <v>183</v>
      </c>
      <c r="I10" s="2" t="s">
        <v>184</v>
      </c>
      <c r="J10" s="2" t="s">
        <v>567</v>
      </c>
    </row>
    <row r="11" spans="1:10" x14ac:dyDescent="0.3">
      <c r="A11" s="3" t="s">
        <v>185</v>
      </c>
      <c r="B11" s="4"/>
      <c r="C11" s="4"/>
      <c r="D11" s="4"/>
      <c r="E11" s="4"/>
      <c r="F11" s="4"/>
      <c r="G11" s="18"/>
      <c r="H11" s="4"/>
      <c r="I11" s="4"/>
      <c r="J11" s="4"/>
    </row>
    <row r="12" spans="1:10" x14ac:dyDescent="0.3">
      <c r="A12" s="2" t="s">
        <v>186</v>
      </c>
      <c r="B12" s="2" t="s">
        <v>187</v>
      </c>
      <c r="C12" s="2" t="s">
        <v>188</v>
      </c>
      <c r="D12" s="2" t="s">
        <v>189</v>
      </c>
      <c r="E12" s="2">
        <v>1</v>
      </c>
      <c r="F12" s="5">
        <v>476.3771999999999</v>
      </c>
      <c r="G12" s="178">
        <f>ROUND(F12*'Inflation ZAR'!$P$10,0)</f>
        <v>615</v>
      </c>
      <c r="H12" s="2" t="s">
        <v>190</v>
      </c>
      <c r="I12" s="2" t="s">
        <v>191</v>
      </c>
      <c r="J12" s="2" t="s">
        <v>192</v>
      </c>
    </row>
    <row r="13" spans="1:10" x14ac:dyDescent="0.3">
      <c r="A13" s="2" t="s">
        <v>193</v>
      </c>
      <c r="B13" s="2" t="s">
        <v>187</v>
      </c>
      <c r="C13" s="2" t="s">
        <v>194</v>
      </c>
      <c r="D13" s="2" t="s">
        <v>195</v>
      </c>
      <c r="E13" s="2">
        <v>1</v>
      </c>
      <c r="F13" s="5">
        <v>1166.3027999999999</v>
      </c>
      <c r="G13" s="178">
        <f>ROUND(F13*'Inflation ZAR'!$P$10,0)</f>
        <v>1505</v>
      </c>
      <c r="H13" s="2" t="s">
        <v>196</v>
      </c>
      <c r="I13" s="2" t="s">
        <v>191</v>
      </c>
      <c r="J13" s="2" t="s">
        <v>192</v>
      </c>
    </row>
    <row r="14" spans="1:10" x14ac:dyDescent="0.3">
      <c r="A14" s="3" t="s">
        <v>197</v>
      </c>
      <c r="B14" s="4"/>
      <c r="C14" s="4"/>
      <c r="D14" s="4"/>
      <c r="E14" s="4"/>
      <c r="F14" s="4"/>
      <c r="G14" s="18"/>
      <c r="H14" s="4"/>
      <c r="I14" s="4"/>
      <c r="J14" s="4"/>
    </row>
    <row r="15" spans="1:10" x14ac:dyDescent="0.3">
      <c r="A15" s="2" t="s">
        <v>186</v>
      </c>
      <c r="B15" s="2" t="s">
        <v>187</v>
      </c>
      <c r="C15" s="2" t="s">
        <v>188</v>
      </c>
      <c r="D15" s="2" t="s">
        <v>189</v>
      </c>
      <c r="E15" s="2">
        <v>1</v>
      </c>
      <c r="F15" s="5">
        <v>256.51079999999996</v>
      </c>
      <c r="G15" s="178">
        <f>ROUND(F15*'Inflation ZAR'!$P$10,0)</f>
        <v>331</v>
      </c>
      <c r="H15" s="2" t="s">
        <v>190</v>
      </c>
      <c r="I15" s="2" t="s">
        <v>191</v>
      </c>
      <c r="J15" s="2" t="s">
        <v>192</v>
      </c>
    </row>
    <row r="16" spans="1:10" x14ac:dyDescent="0.3">
      <c r="A16" s="2" t="s">
        <v>193</v>
      </c>
      <c r="B16" s="2" t="s">
        <v>187</v>
      </c>
      <c r="C16" s="2" t="s">
        <v>194</v>
      </c>
      <c r="D16" s="2" t="s">
        <v>195</v>
      </c>
      <c r="E16" s="2">
        <v>1</v>
      </c>
      <c r="F16" s="5">
        <v>628.00919999999996</v>
      </c>
      <c r="G16" s="178">
        <f>ROUND(F16*'Inflation ZAR'!$P$10,0)</f>
        <v>811</v>
      </c>
      <c r="H16" s="2" t="s">
        <v>196</v>
      </c>
      <c r="I16" s="2" t="s">
        <v>191</v>
      </c>
      <c r="J16" s="2" t="s">
        <v>192</v>
      </c>
    </row>
    <row r="17" spans="1:10" x14ac:dyDescent="0.3">
      <c r="A17" s="3" t="s">
        <v>198</v>
      </c>
      <c r="B17" s="4"/>
      <c r="C17" s="4"/>
      <c r="D17" s="4"/>
      <c r="E17" s="4"/>
      <c r="F17" s="4"/>
      <c r="G17" s="18"/>
      <c r="H17" s="4"/>
      <c r="I17" s="4"/>
      <c r="J17" s="4"/>
    </row>
    <row r="18" spans="1:10" x14ac:dyDescent="0.3">
      <c r="A18" s="2" t="s">
        <v>198</v>
      </c>
      <c r="B18" s="2" t="s">
        <v>199</v>
      </c>
      <c r="C18" s="2" t="s">
        <v>200</v>
      </c>
      <c r="D18" s="2" t="s">
        <v>201</v>
      </c>
      <c r="E18" s="2">
        <v>1</v>
      </c>
      <c r="F18" s="5">
        <v>2200</v>
      </c>
      <c r="G18" s="178">
        <f>ROUND(F18*'Inflation ZAR'!$P$10,0)</f>
        <v>2839</v>
      </c>
      <c r="H18" s="2" t="s">
        <v>202</v>
      </c>
      <c r="I18" s="2" t="s">
        <v>191</v>
      </c>
      <c r="J18" s="2" t="s">
        <v>175</v>
      </c>
    </row>
    <row r="19" spans="1:10" x14ac:dyDescent="0.3">
      <c r="A19" s="2" t="s">
        <v>198</v>
      </c>
      <c r="B19" s="2" t="s">
        <v>203</v>
      </c>
      <c r="C19" s="2" t="s">
        <v>204</v>
      </c>
      <c r="D19" s="2" t="s">
        <v>205</v>
      </c>
      <c r="E19" s="2">
        <v>1</v>
      </c>
      <c r="F19" s="5">
        <v>1800</v>
      </c>
      <c r="G19" s="178">
        <f>900</f>
        <v>900</v>
      </c>
      <c r="H19" s="2" t="s">
        <v>206</v>
      </c>
      <c r="I19" s="2" t="s">
        <v>207</v>
      </c>
      <c r="J19" s="181" t="s">
        <v>578</v>
      </c>
    </row>
    <row r="20" spans="1:10" x14ac:dyDescent="0.3">
      <c r="A20" s="3" t="s">
        <v>208</v>
      </c>
      <c r="B20" s="4"/>
      <c r="C20" s="4"/>
      <c r="D20" s="4"/>
      <c r="E20" s="4"/>
      <c r="F20" s="4"/>
      <c r="G20" s="18"/>
      <c r="H20" s="4"/>
      <c r="I20" s="4"/>
      <c r="J20" s="4"/>
    </row>
    <row r="21" spans="1:10" x14ac:dyDescent="0.3">
      <c r="A21" s="2" t="s">
        <v>208</v>
      </c>
      <c r="B21" s="2" t="s">
        <v>209</v>
      </c>
      <c r="C21" s="2" t="s">
        <v>210</v>
      </c>
      <c r="D21" s="2" t="s">
        <v>211</v>
      </c>
      <c r="E21" s="6">
        <v>0.12</v>
      </c>
      <c r="F21" s="5">
        <f>F29</f>
        <v>400000</v>
      </c>
      <c r="G21" s="178">
        <f>ROUND(F21*'Inflation ZAR'!$P$10,0)</f>
        <v>516251</v>
      </c>
      <c r="H21" s="2" t="s">
        <v>212</v>
      </c>
      <c r="I21" s="2" t="s">
        <v>191</v>
      </c>
      <c r="J21" s="2" t="s">
        <v>213</v>
      </c>
    </row>
    <row r="22" spans="1:10" x14ac:dyDescent="0.3">
      <c r="A22" s="2" t="s">
        <v>208</v>
      </c>
      <c r="B22" s="2" t="s">
        <v>214</v>
      </c>
      <c r="C22" s="2" t="s">
        <v>210</v>
      </c>
      <c r="D22" s="2" t="s">
        <v>215</v>
      </c>
      <c r="E22" s="6">
        <v>0.06</v>
      </c>
      <c r="F22" s="5">
        <v>3000</v>
      </c>
      <c r="G22" s="178">
        <f>ROUND(F22*'Inflation ZAR'!$P$10,0)</f>
        <v>3872</v>
      </c>
      <c r="H22" s="2" t="s">
        <v>216</v>
      </c>
      <c r="I22" s="2" t="s">
        <v>191</v>
      </c>
    </row>
    <row r="23" spans="1:10" x14ac:dyDescent="0.3">
      <c r="A23" s="3" t="s">
        <v>217</v>
      </c>
      <c r="B23" s="4"/>
      <c r="C23" s="4"/>
      <c r="D23" s="4"/>
      <c r="E23" s="4"/>
      <c r="F23" s="4"/>
      <c r="G23" s="18"/>
      <c r="H23" s="4"/>
      <c r="I23" s="4"/>
      <c r="J23" s="4"/>
    </row>
    <row r="24" spans="1:10" x14ac:dyDescent="0.3">
      <c r="A24" s="2" t="s">
        <v>218</v>
      </c>
      <c r="B24" s="2" t="s">
        <v>219</v>
      </c>
      <c r="C24" s="2" t="s">
        <v>220</v>
      </c>
      <c r="D24" s="2" t="s">
        <v>221</v>
      </c>
      <c r="E24" s="2">
        <v>1</v>
      </c>
      <c r="F24" s="5">
        <v>30000</v>
      </c>
      <c r="G24" s="178">
        <f>ROUND(F24*'Inflation ZAR'!$P$10,0)</f>
        <v>38719</v>
      </c>
      <c r="H24" s="2" t="s">
        <v>222</v>
      </c>
      <c r="I24" s="2" t="s">
        <v>223</v>
      </c>
      <c r="J24" s="2" t="s">
        <v>175</v>
      </c>
    </row>
    <row r="25" spans="1:10" x14ac:dyDescent="0.3">
      <c r="A25" s="3" t="s">
        <v>224</v>
      </c>
      <c r="B25" s="4"/>
      <c r="C25" s="4"/>
      <c r="D25" s="4"/>
      <c r="E25" s="4"/>
      <c r="F25" s="4"/>
      <c r="G25" s="18"/>
      <c r="H25" s="4"/>
      <c r="I25" s="4"/>
      <c r="J25" s="4"/>
    </row>
    <row r="26" spans="1:10" x14ac:dyDescent="0.3">
      <c r="A26" s="2" t="s">
        <v>225</v>
      </c>
      <c r="B26" s="2" t="s">
        <v>226</v>
      </c>
      <c r="C26" s="2" t="s">
        <v>155</v>
      </c>
      <c r="D26" s="2" t="s">
        <v>156</v>
      </c>
      <c r="E26" s="2">
        <v>1</v>
      </c>
      <c r="F26" s="5">
        <v>500</v>
      </c>
      <c r="G26" s="178">
        <f>ROUND(F26*'Inflation ZAR'!$P$10,0)</f>
        <v>645</v>
      </c>
      <c r="H26" s="2" t="s">
        <v>157</v>
      </c>
      <c r="I26" s="2" t="s">
        <v>227</v>
      </c>
      <c r="J26" s="2" t="s">
        <v>159</v>
      </c>
    </row>
    <row r="27" spans="1:10" x14ac:dyDescent="0.3">
      <c r="A27" s="2" t="s">
        <v>225</v>
      </c>
      <c r="B27" s="2" t="s">
        <v>228</v>
      </c>
      <c r="C27" s="2" t="s">
        <v>229</v>
      </c>
      <c r="D27" s="2" t="s">
        <v>156</v>
      </c>
      <c r="E27" s="2">
        <v>1</v>
      </c>
      <c r="F27" s="5"/>
      <c r="G27" s="178">
        <f>1250+190</f>
        <v>1440</v>
      </c>
      <c r="H27" s="2" t="s">
        <v>162</v>
      </c>
      <c r="I27" s="2" t="s">
        <v>227</v>
      </c>
      <c r="J27" s="2" t="s">
        <v>568</v>
      </c>
    </row>
    <row r="28" spans="1:10" x14ac:dyDescent="0.3">
      <c r="A28" s="3" t="s">
        <v>230</v>
      </c>
      <c r="B28" s="4"/>
      <c r="C28" s="4"/>
      <c r="D28" s="4"/>
      <c r="E28" s="4"/>
      <c r="F28" s="4"/>
      <c r="G28" s="18"/>
      <c r="H28" s="4"/>
      <c r="I28" s="4"/>
      <c r="J28" s="4"/>
    </row>
    <row r="29" spans="1:10" x14ac:dyDescent="0.3">
      <c r="A29" s="2" t="s">
        <v>566</v>
      </c>
      <c r="B29" s="2" t="s">
        <v>231</v>
      </c>
      <c r="C29" s="2" t="s">
        <v>232</v>
      </c>
      <c r="D29" s="2" t="s">
        <v>233</v>
      </c>
      <c r="E29" s="2">
        <v>1</v>
      </c>
      <c r="F29" s="7">
        <v>400000</v>
      </c>
      <c r="G29" s="178">
        <f>ROUND(F29*'Inflation ZAR'!$P$10,0)</f>
        <v>516251</v>
      </c>
      <c r="H29" s="2" t="s">
        <v>234</v>
      </c>
      <c r="I29" s="2" t="s">
        <v>191</v>
      </c>
      <c r="J29" s="2" t="s">
        <v>175</v>
      </c>
    </row>
    <row r="30" spans="1:10" x14ac:dyDescent="0.3">
      <c r="A30" s="2" t="s">
        <v>235</v>
      </c>
      <c r="B30" s="2" t="s">
        <v>236</v>
      </c>
      <c r="C30" s="2" t="s">
        <v>237</v>
      </c>
      <c r="D30" s="2" t="s">
        <v>233</v>
      </c>
      <c r="E30" s="2">
        <v>1</v>
      </c>
      <c r="F30" s="7">
        <v>480000</v>
      </c>
      <c r="G30" s="178">
        <f>ROUND(F30*'Inflation ZAR'!$P$10,0)</f>
        <v>619501</v>
      </c>
      <c r="H30" s="2" t="s">
        <v>234</v>
      </c>
      <c r="I30" s="2" t="s">
        <v>238</v>
      </c>
      <c r="J30" s="2" t="s">
        <v>175</v>
      </c>
    </row>
    <row r="31" spans="1:10" x14ac:dyDescent="0.3">
      <c r="A31" s="2" t="s">
        <v>239</v>
      </c>
      <c r="B31" s="2" t="s">
        <v>240</v>
      </c>
      <c r="C31" s="2" t="s">
        <v>241</v>
      </c>
      <c r="D31" s="2" t="s">
        <v>242</v>
      </c>
      <c r="E31" s="2">
        <v>1</v>
      </c>
      <c r="F31" s="7">
        <v>3000</v>
      </c>
      <c r="G31" s="178">
        <f>ROUND(F31*'Inflation ZAR'!$P$10,0)</f>
        <v>3872</v>
      </c>
      <c r="H31" s="2" t="s">
        <v>243</v>
      </c>
      <c r="I31" s="2" t="s">
        <v>191</v>
      </c>
      <c r="J31" s="5" t="s">
        <v>178</v>
      </c>
    </row>
    <row r="32" spans="1:10" x14ac:dyDescent="0.3">
      <c r="A32" s="2" t="s">
        <v>244</v>
      </c>
      <c r="B32" s="2" t="s">
        <v>245</v>
      </c>
      <c r="C32" s="2" t="s">
        <v>246</v>
      </c>
      <c r="D32" s="2" t="s">
        <v>242</v>
      </c>
      <c r="E32" s="2">
        <v>1</v>
      </c>
      <c r="F32" s="7">
        <v>5000</v>
      </c>
      <c r="G32" s="178">
        <f>ROUND(F32*'Inflation ZAR'!$P$10,0)</f>
        <v>6453</v>
      </c>
      <c r="H32" s="2" t="s">
        <v>243</v>
      </c>
      <c r="I32" s="2" t="s">
        <v>247</v>
      </c>
      <c r="J32" s="2" t="s">
        <v>248</v>
      </c>
    </row>
    <row r="33" spans="1:10" x14ac:dyDescent="0.3">
      <c r="A33" s="3" t="s">
        <v>249</v>
      </c>
      <c r="B33" s="4"/>
      <c r="C33" s="4"/>
      <c r="D33" s="4"/>
      <c r="E33" s="4"/>
      <c r="F33" s="4"/>
      <c r="G33" s="18"/>
      <c r="H33" s="4"/>
      <c r="I33" s="4"/>
      <c r="J33" s="4"/>
    </row>
    <row r="34" spans="1:10" x14ac:dyDescent="0.3">
      <c r="A34" s="2" t="s">
        <v>250</v>
      </c>
      <c r="B34" s="2" t="s">
        <v>228</v>
      </c>
      <c r="C34" s="2" t="s">
        <v>229</v>
      </c>
      <c r="D34" s="2" t="s">
        <v>251</v>
      </c>
      <c r="E34" s="2">
        <v>1</v>
      </c>
      <c r="F34" s="5"/>
      <c r="G34" s="178">
        <f>1250+190</f>
        <v>1440</v>
      </c>
      <c r="H34" t="s">
        <v>252</v>
      </c>
      <c r="I34" s="2" t="s">
        <v>191</v>
      </c>
      <c r="J34" s="2" t="s">
        <v>568</v>
      </c>
    </row>
    <row r="35" spans="1:10" x14ac:dyDescent="0.3">
      <c r="A35" s="2" t="s">
        <v>253</v>
      </c>
      <c r="B35" s="2" t="s">
        <v>254</v>
      </c>
      <c r="C35" s="2" t="s">
        <v>255</v>
      </c>
      <c r="D35" s="2" t="s">
        <v>251</v>
      </c>
      <c r="E35" s="2">
        <v>1</v>
      </c>
      <c r="F35" s="5">
        <v>2660</v>
      </c>
      <c r="G35" s="178">
        <f>G34+(2*G37)</f>
        <v>2266</v>
      </c>
      <c r="H35" s="2" t="s">
        <v>256</v>
      </c>
      <c r="I35" s="2" t="s">
        <v>191</v>
      </c>
      <c r="J35" s="2" t="s">
        <v>175</v>
      </c>
    </row>
    <row r="36" spans="1:10" x14ac:dyDescent="0.3">
      <c r="A36" t="s">
        <v>257</v>
      </c>
      <c r="B36" t="s">
        <v>254</v>
      </c>
      <c r="C36" t="s">
        <v>255</v>
      </c>
      <c r="D36" t="s">
        <v>251</v>
      </c>
      <c r="E36">
        <v>1</v>
      </c>
      <c r="F36" s="56">
        <f>F35-F37</f>
        <v>2340</v>
      </c>
      <c r="G36" s="178">
        <f>G34+G37</f>
        <v>1853</v>
      </c>
      <c r="H36" t="s">
        <v>258</v>
      </c>
      <c r="I36" t="s">
        <v>191</v>
      </c>
      <c r="J36" t="s">
        <v>259</v>
      </c>
    </row>
    <row r="37" spans="1:10" x14ac:dyDescent="0.3">
      <c r="A37" s="2" t="s">
        <v>260</v>
      </c>
      <c r="B37" s="2" t="s">
        <v>254</v>
      </c>
      <c r="C37" s="2" t="s">
        <v>261</v>
      </c>
      <c r="D37" s="2" t="s">
        <v>251</v>
      </c>
      <c r="E37" s="2">
        <v>1</v>
      </c>
      <c r="F37" s="5">
        <v>320</v>
      </c>
      <c r="G37" s="178">
        <f>ROUND(F37*'Inflation ZAR'!$P$10,0)</f>
        <v>413</v>
      </c>
      <c r="H37" s="2" t="s">
        <v>262</v>
      </c>
      <c r="I37" s="2" t="s">
        <v>191</v>
      </c>
      <c r="J37" s="2" t="s">
        <v>175</v>
      </c>
    </row>
    <row r="38" spans="1:10" x14ac:dyDescent="0.3">
      <c r="A38" s="2" t="s">
        <v>263</v>
      </c>
      <c r="B38" s="2" t="s">
        <v>254</v>
      </c>
      <c r="C38" s="2" t="s">
        <v>264</v>
      </c>
      <c r="D38" s="2" t="s">
        <v>251</v>
      </c>
      <c r="E38" s="2">
        <v>1</v>
      </c>
      <c r="F38" s="5">
        <v>100</v>
      </c>
      <c r="G38" s="178">
        <f>ROUND(F38*'Inflation ZAR'!$P$10,0)</f>
        <v>129</v>
      </c>
      <c r="H38" s="2" t="s">
        <v>262</v>
      </c>
      <c r="I38" s="2" t="s">
        <v>191</v>
      </c>
      <c r="J38" s="2" t="s">
        <v>159</v>
      </c>
    </row>
    <row r="39" spans="1:10" x14ac:dyDescent="0.3">
      <c r="A39" s="3" t="s">
        <v>231</v>
      </c>
      <c r="B39" s="4"/>
      <c r="C39" s="4"/>
      <c r="D39" s="4"/>
      <c r="E39" s="4"/>
      <c r="F39" s="4"/>
      <c r="G39" s="18"/>
      <c r="H39" s="4"/>
      <c r="I39" s="4"/>
      <c r="J39" s="4"/>
    </row>
    <row r="40" spans="1:10" x14ac:dyDescent="0.3">
      <c r="A40" s="2" t="s">
        <v>265</v>
      </c>
      <c r="B40" s="2" t="s">
        <v>266</v>
      </c>
      <c r="C40" s="2" t="s">
        <v>267</v>
      </c>
      <c r="D40" s="2" t="s">
        <v>268</v>
      </c>
      <c r="E40" s="2">
        <v>1</v>
      </c>
      <c r="F40" s="5">
        <v>3360</v>
      </c>
      <c r="G40" s="178">
        <f>ROUND(F40*'Inflation ZAR'!$P$10,0)</f>
        <v>4337</v>
      </c>
      <c r="H40" s="2" t="s">
        <v>269</v>
      </c>
      <c r="I40" s="2" t="s">
        <v>238</v>
      </c>
      <c r="J40" s="2" t="s">
        <v>178</v>
      </c>
    </row>
    <row r="41" spans="1:10" x14ac:dyDescent="0.3">
      <c r="A41" s="2" t="s">
        <v>265</v>
      </c>
      <c r="B41" s="2" t="s">
        <v>270</v>
      </c>
      <c r="C41" s="2" t="s">
        <v>271</v>
      </c>
      <c r="D41" s="2" t="s">
        <v>268</v>
      </c>
      <c r="E41" s="2">
        <v>1</v>
      </c>
      <c r="F41" s="5">
        <v>54000</v>
      </c>
      <c r="G41" s="178">
        <f>ROUND(F41*'Inflation ZAR'!$P$10,0)</f>
        <v>69694</v>
      </c>
      <c r="H41" s="2" t="s">
        <v>269</v>
      </c>
      <c r="I41" s="2" t="s">
        <v>238</v>
      </c>
      <c r="J41" s="2" t="s">
        <v>175</v>
      </c>
    </row>
    <row r="42" spans="1:10" x14ac:dyDescent="0.3">
      <c r="A42" s="2" t="s">
        <v>265</v>
      </c>
      <c r="B42" s="2" t="s">
        <v>272</v>
      </c>
      <c r="C42" s="2" t="s">
        <v>273</v>
      </c>
      <c r="D42" s="2" t="s">
        <v>268</v>
      </c>
      <c r="E42" s="2">
        <v>1</v>
      </c>
      <c r="F42" s="5">
        <v>24000</v>
      </c>
      <c r="G42" s="178">
        <f>ROUND(F42*'Inflation ZAR'!$P$10,0)</f>
        <v>30975</v>
      </c>
      <c r="H42" s="2" t="s">
        <v>269</v>
      </c>
      <c r="I42" s="2" t="s">
        <v>238</v>
      </c>
      <c r="J42" s="2" t="s">
        <v>175</v>
      </c>
    </row>
    <row r="43" spans="1:10" x14ac:dyDescent="0.3">
      <c r="A43" s="2" t="s">
        <v>265</v>
      </c>
      <c r="B43" s="2" t="s">
        <v>274</v>
      </c>
      <c r="C43" s="2" t="s">
        <v>275</v>
      </c>
      <c r="D43" s="2" t="s">
        <v>276</v>
      </c>
      <c r="E43" s="2">
        <v>1</v>
      </c>
      <c r="F43" s="5">
        <v>7800</v>
      </c>
      <c r="G43" s="178">
        <f>ROUND(F43*'Inflation ZAR'!$P$10,0)</f>
        <v>10067</v>
      </c>
      <c r="H43" s="2" t="s">
        <v>269</v>
      </c>
      <c r="I43" s="2" t="s">
        <v>238</v>
      </c>
      <c r="J43" s="2" t="s">
        <v>178</v>
      </c>
    </row>
    <row r="44" spans="1:10" x14ac:dyDescent="0.3">
      <c r="A44" s="8" t="s">
        <v>277</v>
      </c>
      <c r="B44" s="2" t="s">
        <v>278</v>
      </c>
      <c r="C44" s="2" t="s">
        <v>279</v>
      </c>
      <c r="D44" s="2" t="s">
        <v>280</v>
      </c>
      <c r="E44" s="2">
        <v>1</v>
      </c>
      <c r="F44" s="5">
        <v>6000</v>
      </c>
      <c r="G44" s="178">
        <f>ROUND(F44*'Inflation ZAR'!$P$10,0)</f>
        <v>7744</v>
      </c>
      <c r="H44" s="2" t="s">
        <v>222</v>
      </c>
      <c r="I44" s="2" t="s">
        <v>281</v>
      </c>
      <c r="J44" s="2" t="s">
        <v>178</v>
      </c>
    </row>
    <row r="45" spans="1:10" x14ac:dyDescent="0.3">
      <c r="A45" s="3"/>
      <c r="B45" s="9"/>
      <c r="C45" s="9"/>
      <c r="D45" s="9"/>
      <c r="E45" s="9"/>
      <c r="F45" s="9"/>
      <c r="G45" s="19"/>
      <c r="H45" s="9"/>
      <c r="I45" s="9"/>
      <c r="J45" s="9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3D5AE-13A0-41B4-B6BC-6B2A8C6A57A4}">
  <sheetPr>
    <tabColor rgb="FF00B050"/>
  </sheetPr>
  <dimension ref="A1:I118"/>
  <sheetViews>
    <sheetView zoomScale="85" workbookViewId="0">
      <pane xSplit="1" ySplit="14" topLeftCell="C81" activePane="bottomRight" state="frozen"/>
      <selection pane="topRight" activeCell="B74" sqref="B1:B1048576"/>
      <selection pane="bottomLeft" activeCell="B74" sqref="B1:B1048576"/>
      <selection pane="bottomRight" activeCell="E43" sqref="E43"/>
    </sheetView>
  </sheetViews>
  <sheetFormatPr defaultRowHeight="14.4" x14ac:dyDescent="0.3"/>
  <cols>
    <col min="1" max="1" width="47" customWidth="1"/>
    <col min="2" max="2" width="56.44140625" customWidth="1"/>
    <col min="3" max="3" width="22.33203125" customWidth="1"/>
    <col min="4" max="4" width="28.6640625" customWidth="1"/>
    <col min="5" max="5" width="27.6640625" customWidth="1"/>
    <col min="6" max="6" width="38.6640625" customWidth="1"/>
    <col min="7" max="7" width="9.33203125" bestFit="1" customWidth="1"/>
    <col min="8" max="8" width="34" customWidth="1"/>
    <col min="10" max="10" width="28.88671875" customWidth="1"/>
  </cols>
  <sheetData>
    <row r="1" spans="1:9" ht="18" x14ac:dyDescent="0.35">
      <c r="A1" s="58" t="s">
        <v>282</v>
      </c>
      <c r="B1" s="58"/>
      <c r="C1" s="58"/>
      <c r="D1" s="58"/>
      <c r="E1" s="58"/>
      <c r="F1" s="58"/>
      <c r="G1" s="58"/>
      <c r="H1" s="58"/>
      <c r="I1" s="58"/>
    </row>
    <row r="2" spans="1:9" ht="13.5" customHeight="1" x14ac:dyDescent="0.3">
      <c r="A2" t="s">
        <v>283</v>
      </c>
      <c r="B2" s="59">
        <f>Assumptions!$C$14</f>
        <v>175</v>
      </c>
      <c r="C2" s="13"/>
      <c r="D2" s="13"/>
    </row>
    <row r="3" spans="1:9" ht="13.5" customHeight="1" x14ac:dyDescent="0.3">
      <c r="A3" t="s">
        <v>284</v>
      </c>
      <c r="B3" s="59">
        <f>Assumptions!$C$14*Assumptions!$C$16</f>
        <v>1050</v>
      </c>
      <c r="C3" s="13"/>
      <c r="D3" s="13"/>
    </row>
    <row r="4" spans="1:9" ht="13.5" customHeight="1" x14ac:dyDescent="0.3">
      <c r="A4" t="s">
        <v>285</v>
      </c>
      <c r="B4" s="59">
        <f>$B$3*Assumptions!$C$20</f>
        <v>36750</v>
      </c>
      <c r="C4" s="13"/>
      <c r="D4" s="13"/>
      <c r="E4" s="59"/>
    </row>
    <row r="5" spans="1:9" ht="6.75" customHeight="1" x14ac:dyDescent="0.3">
      <c r="B5" s="59"/>
      <c r="C5" s="13"/>
      <c r="D5" s="13"/>
      <c r="E5" s="59"/>
    </row>
    <row r="6" spans="1:9" ht="13.5" customHeight="1" x14ac:dyDescent="0.3">
      <c r="A6" t="s">
        <v>286</v>
      </c>
      <c r="B6" s="59">
        <f>B3/Assumptions!$C$17</f>
        <v>17.5</v>
      </c>
      <c r="C6" s="13"/>
      <c r="D6" s="13"/>
      <c r="E6" s="59"/>
    </row>
    <row r="7" spans="1:9" ht="13.5" customHeight="1" x14ac:dyDescent="0.3">
      <c r="A7" t="s">
        <v>287</v>
      </c>
      <c r="B7" s="59">
        <f>ROUNDUP(B6/Assumptions!$C$64,0)</f>
        <v>1</v>
      </c>
      <c r="C7" s="13"/>
      <c r="D7" s="13"/>
    </row>
    <row r="8" spans="1:9" ht="6.75" customHeight="1" x14ac:dyDescent="0.3">
      <c r="B8" s="59"/>
      <c r="C8" s="13"/>
      <c r="D8" s="13"/>
    </row>
    <row r="9" spans="1:9" ht="13.5" customHeight="1" x14ac:dyDescent="0.3">
      <c r="A9" t="s">
        <v>288</v>
      </c>
      <c r="B9" s="59">
        <f>$B$2</f>
        <v>175</v>
      </c>
      <c r="C9" s="13"/>
      <c r="D9" s="13"/>
    </row>
    <row r="10" spans="1:9" ht="13.5" customHeight="1" x14ac:dyDescent="0.3">
      <c r="A10" t="s">
        <v>289</v>
      </c>
      <c r="B10" s="59">
        <f>ROUND($B$9/Assumptions!$C$18,0)</f>
        <v>175</v>
      </c>
    </row>
    <row r="11" spans="1:9" ht="13.5" customHeight="1" x14ac:dyDescent="0.3">
      <c r="A11" t="s">
        <v>290</v>
      </c>
      <c r="B11" s="59">
        <f>ROUNDUP($B$10/Assumptions!$C$74,0)</f>
        <v>9</v>
      </c>
    </row>
    <row r="12" spans="1:9" ht="6.75" customHeight="1" x14ac:dyDescent="0.3">
      <c r="B12" s="59"/>
    </row>
    <row r="13" spans="1:9" ht="18" x14ac:dyDescent="0.35">
      <c r="A13" s="58" t="s">
        <v>291</v>
      </c>
      <c r="B13" s="58"/>
      <c r="C13" s="58"/>
      <c r="D13" s="58"/>
      <c r="E13" s="58"/>
      <c r="F13" s="58"/>
      <c r="G13" s="58"/>
      <c r="H13" s="58"/>
      <c r="I13" s="58"/>
    </row>
    <row r="14" spans="1:9" s="13" customFormat="1" x14ac:dyDescent="0.3">
      <c r="A14" s="13" t="s">
        <v>292</v>
      </c>
      <c r="B14" s="13" t="s">
        <v>293</v>
      </c>
      <c r="C14" s="13" t="s">
        <v>294</v>
      </c>
      <c r="D14" s="13" t="s">
        <v>295</v>
      </c>
      <c r="E14" s="13" t="s">
        <v>296</v>
      </c>
      <c r="F14" s="13" t="s">
        <v>297</v>
      </c>
    </row>
    <row r="15" spans="1:9" x14ac:dyDescent="0.3">
      <c r="B15" t="s">
        <v>298</v>
      </c>
      <c r="C15" s="56">
        <f>'Unit Costs'!$G$3*Assumptions!$C$27</f>
        <v>77440</v>
      </c>
      <c r="D15" s="56">
        <f>C15</f>
        <v>77440</v>
      </c>
      <c r="E15" s="56">
        <f>D15/Assumptions!$C$31</f>
        <v>6453.333333333333</v>
      </c>
      <c r="F15" t="s">
        <v>299</v>
      </c>
      <c r="H15" s="57"/>
    </row>
    <row r="16" spans="1:9" x14ac:dyDescent="0.3">
      <c r="B16" t="s">
        <v>300</v>
      </c>
      <c r="C16" s="56">
        <f>('Unit Costs'!$G$4+'Unit Costs'!$G$5)*Assumptions!$C$29*Assumptions!$C$28</f>
        <v>135510</v>
      </c>
      <c r="D16" s="56">
        <f>C16</f>
        <v>135510</v>
      </c>
      <c r="E16" s="56">
        <f>D16/Assumptions!$C$31</f>
        <v>11292.5</v>
      </c>
      <c r="F16" t="s">
        <v>299</v>
      </c>
    </row>
    <row r="17" spans="1:8" ht="15" customHeight="1" x14ac:dyDescent="0.3">
      <c r="B17" t="s">
        <v>569</v>
      </c>
      <c r="C17" s="56">
        <f>(('Unit Costs'!$G$6*Assumptions!$C$28)+('Unit Costs'!$G$7))*Assumptions!$C$30</f>
        <v>54408</v>
      </c>
      <c r="D17" s="56">
        <f>C17</f>
        <v>54408</v>
      </c>
      <c r="E17" s="56">
        <f>D17/Assumptions!$C$31</f>
        <v>4534</v>
      </c>
      <c r="F17" t="s">
        <v>299</v>
      </c>
    </row>
    <row r="18" spans="1:8" x14ac:dyDescent="0.3">
      <c r="B18" t="s">
        <v>302</v>
      </c>
      <c r="C18" s="56">
        <f>'Unit Costs'!$G$3*Assumptions!$C$38</f>
        <v>19360</v>
      </c>
      <c r="D18" s="56">
        <f>IF(Assumptions!$C$10="Home Language",0,$C18)</f>
        <v>0</v>
      </c>
      <c r="E18" s="56">
        <f>D18/Assumptions!$C$42</f>
        <v>0</v>
      </c>
      <c r="F18" t="s">
        <v>299</v>
      </c>
    </row>
    <row r="19" spans="1:8" x14ac:dyDescent="0.3">
      <c r="B19" t="s">
        <v>303</v>
      </c>
      <c r="C19" s="56">
        <f>('Unit Costs'!$G$4+'Unit Costs'!$G$5)*Assumptions!$C$39*Assumptions!$C$40</f>
        <v>67755</v>
      </c>
      <c r="D19" s="56">
        <f>IF(Assumptions!$C$10="Home Language",0,$C19)</f>
        <v>0</v>
      </c>
      <c r="E19" s="56">
        <f>D19/Assumptions!$C$42</f>
        <v>0</v>
      </c>
      <c r="F19" t="s">
        <v>299</v>
      </c>
    </row>
    <row r="20" spans="1:8" x14ac:dyDescent="0.3">
      <c r="B20" t="s">
        <v>558</v>
      </c>
      <c r="C20" s="56">
        <f>(('Unit Costs'!$G$6*Assumptions!$C$39)+('Unit Costs'!$G$7))*Assumptions!$C$41</f>
        <v>45272</v>
      </c>
      <c r="D20" s="56">
        <f>IF(Assumptions!$C$10="Home Language",0,$C20)</f>
        <v>0</v>
      </c>
      <c r="E20" s="56">
        <f>D20/Assumptions!$C$42</f>
        <v>0</v>
      </c>
      <c r="F20" t="s">
        <v>299</v>
      </c>
    </row>
    <row r="21" spans="1:8" x14ac:dyDescent="0.3">
      <c r="C21" s="56"/>
      <c r="D21" s="56"/>
      <c r="E21" s="56"/>
    </row>
    <row r="22" spans="1:8" x14ac:dyDescent="0.3">
      <c r="A22" s="13" t="s">
        <v>304</v>
      </c>
      <c r="C22" s="56"/>
      <c r="D22" s="56"/>
      <c r="E22" s="56"/>
      <c r="H22" s="57"/>
    </row>
    <row r="23" spans="1:8" x14ac:dyDescent="0.3">
      <c r="A23" s="13"/>
      <c r="B23" t="s">
        <v>305</v>
      </c>
      <c r="C23" s="56">
        <f>'Unit Costs'!$G$3*Assumptions!$C$32</f>
        <v>19360</v>
      </c>
      <c r="D23" s="56">
        <f>C23</f>
        <v>19360</v>
      </c>
      <c r="E23" s="56">
        <f>D23*Assumptions!$C$36/Assumptions!$C$31</f>
        <v>4840</v>
      </c>
      <c r="F23" t="s">
        <v>299</v>
      </c>
      <c r="H23" s="57"/>
    </row>
    <row r="24" spans="1:8" x14ac:dyDescent="0.3">
      <c r="B24" t="s">
        <v>300</v>
      </c>
      <c r="C24" s="56">
        <f>('Unit Costs'!$G$4+'Unit Costs'!$G$5)*Assumptions!$C$34*Assumptions!$C$33</f>
        <v>135510</v>
      </c>
      <c r="D24" s="56">
        <f>C24</f>
        <v>135510</v>
      </c>
      <c r="E24" s="56">
        <f>D24*Assumptions!$C$36/Assumptions!$C$31</f>
        <v>33877.5</v>
      </c>
      <c r="F24" t="s">
        <v>299</v>
      </c>
    </row>
    <row r="25" spans="1:8" ht="15" customHeight="1" x14ac:dyDescent="0.3">
      <c r="B25" t="s">
        <v>569</v>
      </c>
      <c r="C25" s="56">
        <f>(('Unit Costs'!$G$6*Assumptions!$C$33)+('Unit Costs'!$G$7))*Assumptions!$C$35</f>
        <v>54408</v>
      </c>
      <c r="D25" s="56">
        <f>C25</f>
        <v>54408</v>
      </c>
      <c r="E25" s="56">
        <f>D25*Assumptions!$C$36/Assumptions!$C$31</f>
        <v>13602</v>
      </c>
      <c r="F25" t="s">
        <v>299</v>
      </c>
    </row>
    <row r="26" spans="1:8" x14ac:dyDescent="0.3">
      <c r="B26" t="s">
        <v>306</v>
      </c>
      <c r="C26" s="56">
        <f>'Unit Costs'!$G$3*Assumptions!$C$43</f>
        <v>7744</v>
      </c>
      <c r="D26" s="56">
        <f>IF(Assumptions!$C$10="Home Language",0,$C26)</f>
        <v>0</v>
      </c>
      <c r="E26" s="56">
        <f>D26*Assumptions!$C$47/Assumptions!$C$42</f>
        <v>0</v>
      </c>
      <c r="F26" t="s">
        <v>299</v>
      </c>
    </row>
    <row r="27" spans="1:8" x14ac:dyDescent="0.3">
      <c r="B27" t="s">
        <v>303</v>
      </c>
      <c r="C27" s="56">
        <f>('Unit Costs'!$G$4+'Unit Costs'!$G$5)*Assumptions!$C$44*Assumptions!$C$45</f>
        <v>67755</v>
      </c>
      <c r="D27" s="56">
        <f>IF(Assumptions!$C$10="Home Language",0,$C27)</f>
        <v>0</v>
      </c>
      <c r="E27" s="56">
        <f>D27*Assumptions!$C$47/Assumptions!$C$42</f>
        <v>0</v>
      </c>
      <c r="F27" t="s">
        <v>299</v>
      </c>
    </row>
    <row r="28" spans="1:8" x14ac:dyDescent="0.3">
      <c r="B28" t="s">
        <v>558</v>
      </c>
      <c r="C28" s="56">
        <f>(('Unit Costs'!$G$6*Assumptions!$C$44)+('Unit Costs'!$G$7))*Assumptions!$C$46</f>
        <v>45272</v>
      </c>
      <c r="D28" s="56">
        <f>IF(Assumptions!$C$10="Home Language",0,$C28)</f>
        <v>0</v>
      </c>
      <c r="E28" s="56">
        <f>D28*Assumptions!$C$47/Assumptions!$C$42</f>
        <v>0</v>
      </c>
      <c r="F28" t="s">
        <v>299</v>
      </c>
    </row>
    <row r="29" spans="1:8" x14ac:dyDescent="0.3">
      <c r="C29" s="56"/>
      <c r="D29" s="56"/>
      <c r="E29" s="56"/>
    </row>
    <row r="30" spans="1:8" x14ac:dyDescent="0.3">
      <c r="A30" s="13" t="s">
        <v>307</v>
      </c>
      <c r="C30" s="56"/>
      <c r="D30" s="56"/>
      <c r="E30" s="56"/>
    </row>
    <row r="31" spans="1:8" x14ac:dyDescent="0.3">
      <c r="A31" s="13"/>
      <c r="B31" t="s">
        <v>308</v>
      </c>
      <c r="C31" s="56">
        <f>'Unit Costs'!$G$10</f>
        <v>150000</v>
      </c>
      <c r="D31" s="56">
        <f>IF(Assumptions!$C$13="Yes",$C31,0)</f>
        <v>0</v>
      </c>
      <c r="E31" s="56">
        <f>D31</f>
        <v>0</v>
      </c>
      <c r="F31" t="s">
        <v>299</v>
      </c>
    </row>
    <row r="33" spans="1:6" x14ac:dyDescent="0.3">
      <c r="A33" s="13" t="s">
        <v>309</v>
      </c>
      <c r="C33" s="56"/>
      <c r="D33" s="56"/>
      <c r="E33" s="56"/>
    </row>
    <row r="34" spans="1:6" x14ac:dyDescent="0.3">
      <c r="A34" s="13"/>
      <c r="B34" t="s">
        <v>310</v>
      </c>
      <c r="C34" s="56">
        <f>'Unit Costs'!$G$13</f>
        <v>1505</v>
      </c>
      <c r="D34" s="56">
        <f>C34</f>
        <v>1505</v>
      </c>
      <c r="E34" s="56">
        <f>D34/Assumptions!$C$50</f>
        <v>752.5</v>
      </c>
      <c r="F34" t="s">
        <v>53</v>
      </c>
    </row>
    <row r="35" spans="1:6" x14ac:dyDescent="0.3">
      <c r="B35" t="s">
        <v>312</v>
      </c>
      <c r="C35" s="56">
        <f>'Unit Costs'!$G$16</f>
        <v>811</v>
      </c>
      <c r="D35" s="56">
        <f>IF(Assumptions!$C$10="Home Language",0,$C35)</f>
        <v>0</v>
      </c>
      <c r="E35" s="56">
        <f>D35/Assumptions!$C$50</f>
        <v>0</v>
      </c>
      <c r="F35" t="s">
        <v>53</v>
      </c>
    </row>
    <row r="36" spans="1:6" x14ac:dyDescent="0.3">
      <c r="C36" s="56"/>
      <c r="D36" s="56"/>
      <c r="E36" s="56"/>
    </row>
    <row r="37" spans="1:6" x14ac:dyDescent="0.3">
      <c r="A37" s="13" t="s">
        <v>313</v>
      </c>
      <c r="C37" s="56"/>
      <c r="D37" s="56"/>
      <c r="E37" s="56"/>
    </row>
    <row r="38" spans="1:6" x14ac:dyDescent="0.3">
      <c r="A38" s="13"/>
      <c r="B38" t="s">
        <v>314</v>
      </c>
      <c r="C38" s="56">
        <f>'Unit Costs'!$G$12</f>
        <v>615</v>
      </c>
      <c r="D38" s="56">
        <f>IF(Assumptions!$C$13="Yes",0,$C38)</f>
        <v>615</v>
      </c>
      <c r="E38" s="56">
        <f>D38/Assumptions!$C$50</f>
        <v>307.5</v>
      </c>
      <c r="F38" t="s">
        <v>53</v>
      </c>
    </row>
    <row r="39" spans="1:6" x14ac:dyDescent="0.3">
      <c r="B39" t="s">
        <v>315</v>
      </c>
      <c r="C39" s="56">
        <f>'Unit Costs'!$G$15</f>
        <v>331</v>
      </c>
      <c r="D39" s="56">
        <f>IF(OR(Assumptions!$C$13="Yes", Assumptions!$C$10="Home Language"),0,$C39)</f>
        <v>0</v>
      </c>
      <c r="E39" s="56">
        <f>D39/Assumptions!$C$50</f>
        <v>0</v>
      </c>
      <c r="F39" t="s">
        <v>53</v>
      </c>
    </row>
    <row r="40" spans="1:6" x14ac:dyDescent="0.3">
      <c r="C40" s="56"/>
      <c r="D40" s="56"/>
      <c r="E40" s="56"/>
    </row>
    <row r="41" spans="1:6" x14ac:dyDescent="0.3">
      <c r="A41" s="13" t="s">
        <v>316</v>
      </c>
      <c r="C41" s="56"/>
      <c r="D41" s="56"/>
      <c r="E41" s="56"/>
    </row>
    <row r="42" spans="1:6" x14ac:dyDescent="0.3">
      <c r="A42" s="13"/>
      <c r="B42" t="s">
        <v>199</v>
      </c>
      <c r="C42" s="56">
        <f>'Unit Costs'!$G$18</f>
        <v>2839</v>
      </c>
      <c r="D42" s="56">
        <f>IF(Assumptions!$C$13="Yes",$C42,0)</f>
        <v>0</v>
      </c>
      <c r="E42" s="56">
        <f>D42/Assumptions!$C$50</f>
        <v>0</v>
      </c>
      <c r="F42" t="s">
        <v>53</v>
      </c>
    </row>
    <row r="43" spans="1:6" x14ac:dyDescent="0.3">
      <c r="B43" t="s">
        <v>203</v>
      </c>
      <c r="C43" s="56">
        <f>'Unit Costs'!$G$19</f>
        <v>900</v>
      </c>
      <c r="D43" s="56">
        <f>IF(Assumptions!$C$13="Yes",$C43,0)</f>
        <v>0</v>
      </c>
      <c r="E43" s="56">
        <f>D43</f>
        <v>0</v>
      </c>
      <c r="F43" t="s">
        <v>53</v>
      </c>
    </row>
    <row r="45" spans="1:6" x14ac:dyDescent="0.3">
      <c r="A45" s="13" t="s">
        <v>16</v>
      </c>
      <c r="C45" s="56"/>
      <c r="D45" s="56"/>
      <c r="E45" s="56"/>
    </row>
    <row r="46" spans="1:6" x14ac:dyDescent="0.3">
      <c r="A46" s="13"/>
      <c r="B46" t="s">
        <v>317</v>
      </c>
      <c r="C46" s="56">
        <f>'Unit Costs'!$G$37*(Assumptions!$C$55*Assumptions!$C$56)</f>
        <v>826</v>
      </c>
      <c r="D46" s="56">
        <f t="shared" ref="D46:E50" si="0">C46</f>
        <v>826</v>
      </c>
      <c r="E46" s="56">
        <f t="shared" si="0"/>
        <v>826</v>
      </c>
      <c r="F46" t="s">
        <v>311</v>
      </c>
    </row>
    <row r="47" spans="1:6" x14ac:dyDescent="0.3">
      <c r="A47" s="13"/>
      <c r="B47" t="s">
        <v>318</v>
      </c>
      <c r="C47" s="56">
        <f>(Assumptions!$C$55-1)*Assumptions!$C$56*'Unit Costs'!$G$34</f>
        <v>1440</v>
      </c>
      <c r="D47" s="56">
        <f>C47</f>
        <v>1440</v>
      </c>
      <c r="E47" s="56">
        <f>D47</f>
        <v>1440</v>
      </c>
      <c r="F47" t="s">
        <v>311</v>
      </c>
    </row>
    <row r="48" spans="1:6" x14ac:dyDescent="0.3">
      <c r="B48" t="s">
        <v>319</v>
      </c>
      <c r="C48" s="56">
        <f>'Unit Costs'!$G$37*(Assumptions!$C$57*Assumptions!$C$58)</f>
        <v>1239</v>
      </c>
      <c r="D48" s="56">
        <f t="shared" si="0"/>
        <v>1239</v>
      </c>
      <c r="E48" s="56">
        <f t="shared" si="0"/>
        <v>1239</v>
      </c>
      <c r="F48" t="s">
        <v>311</v>
      </c>
    </row>
    <row r="49" spans="1:9" x14ac:dyDescent="0.3">
      <c r="B49" t="s">
        <v>320</v>
      </c>
      <c r="C49" s="56">
        <f>(Assumptions!$C$57-1)*Assumptions!$C$58*'Unit Costs'!$G$34</f>
        <v>0</v>
      </c>
      <c r="D49" s="56">
        <f>C49</f>
        <v>0</v>
      </c>
      <c r="E49" s="56">
        <f>D49</f>
        <v>0</v>
      </c>
      <c r="F49" t="s">
        <v>311</v>
      </c>
    </row>
    <row r="50" spans="1:9" x14ac:dyDescent="0.3">
      <c r="B50" t="s">
        <v>321</v>
      </c>
      <c r="C50" s="56">
        <f>'Unit Costs'!$G$38*Assumptions!$C$59*Assumptions!$C$60</f>
        <v>0</v>
      </c>
      <c r="D50" s="56">
        <f t="shared" si="0"/>
        <v>0</v>
      </c>
      <c r="E50" s="56">
        <f t="shared" si="0"/>
        <v>0</v>
      </c>
      <c r="F50" t="s">
        <v>311</v>
      </c>
    </row>
    <row r="51" spans="1:9" x14ac:dyDescent="0.3">
      <c r="B51" s="149" t="s">
        <v>322</v>
      </c>
      <c r="C51" s="56">
        <f>'Unit Costs'!$G$31*ROUNDUP($B$3/Assumptions!$C$53,0)*(Assumptions!$C$55*Assumptions!$C$56+Assumptions!$C$57*Assumptions!$C$58)/$B$3</f>
        <v>387.2</v>
      </c>
      <c r="D51" s="56">
        <f>IF(Assumptions!$C$11 = "Yes", C51*Assumptions!$C$54, C51)</f>
        <v>387.2</v>
      </c>
      <c r="E51" s="56">
        <f>D51</f>
        <v>387.2</v>
      </c>
      <c r="F51" t="s">
        <v>311</v>
      </c>
      <c r="G51" t="s">
        <v>570</v>
      </c>
    </row>
    <row r="53" spans="1:9" ht="18" x14ac:dyDescent="0.35">
      <c r="A53" s="58" t="s">
        <v>324</v>
      </c>
      <c r="B53" s="58"/>
      <c r="C53" s="58"/>
      <c r="D53" s="58"/>
      <c r="E53" s="58"/>
      <c r="F53" s="58"/>
      <c r="G53" s="58"/>
      <c r="H53" s="58"/>
      <c r="I53" s="58"/>
    </row>
    <row r="54" spans="1:9" ht="15.6" x14ac:dyDescent="0.3">
      <c r="A54" s="13" t="s">
        <v>325</v>
      </c>
      <c r="B54" s="13"/>
      <c r="C54" s="13"/>
      <c r="D54" s="13"/>
      <c r="E54" s="13"/>
      <c r="F54" s="13"/>
      <c r="H54" s="60"/>
    </row>
    <row r="55" spans="1:9" x14ac:dyDescent="0.3">
      <c r="A55" s="68" t="s">
        <v>326</v>
      </c>
      <c r="B55" t="s">
        <v>327</v>
      </c>
      <c r="C55" s="56">
        <f>'Unit Costs'!$G$21*'Unit Costs'!$E$21</f>
        <v>61950.119999999995</v>
      </c>
      <c r="D55" s="56">
        <f>IF(AND(Assumptions!$C$11="Yes",OR(Assumptions!$C$12=Lists!$AB$2,Assumptions!$C$12=Lists!$AB$3)), C55, 0)</f>
        <v>0</v>
      </c>
      <c r="E55" s="56">
        <f>D55/Assumptions!$C$66</f>
        <v>0</v>
      </c>
      <c r="F55" t="s">
        <v>366</v>
      </c>
      <c r="H55" s="59"/>
    </row>
    <row r="56" spans="1:9" x14ac:dyDescent="0.3">
      <c r="A56" s="68"/>
      <c r="B56" t="s">
        <v>329</v>
      </c>
      <c r="C56" s="56">
        <f>'Unit Costs'!$G$44</f>
        <v>7744</v>
      </c>
      <c r="D56" s="56">
        <f>IF(AND(Assumptions!$C$11="Yes",OR(Assumptions!$C$12=Lists!$AB$2,Assumptions!$C$12=Lists!$AB$3)), C56, 0)</f>
        <v>0</v>
      </c>
      <c r="E56" s="56">
        <f>D56/Assumptions!$C$67</f>
        <v>0</v>
      </c>
      <c r="F56" t="s">
        <v>366</v>
      </c>
    </row>
    <row r="57" spans="1:9" x14ac:dyDescent="0.3">
      <c r="A57" s="68"/>
      <c r="B57" t="s">
        <v>330</v>
      </c>
      <c r="C57" s="56">
        <f>'Unit Costs'!$G$24</f>
        <v>38719</v>
      </c>
      <c r="D57" s="56">
        <f>IF(AND(Assumptions!$C$11="Yes",OR(Assumptions!$C$12=Lists!$AB$2,Assumptions!$C$12=Lists!$AB$3)), C57, 0)</f>
        <v>0</v>
      </c>
      <c r="E57" s="56">
        <f>D57/Assumptions!$C$66</f>
        <v>0</v>
      </c>
      <c r="F57" t="s">
        <v>366</v>
      </c>
    </row>
    <row r="58" spans="1:9" x14ac:dyDescent="0.3">
      <c r="A58" s="68"/>
      <c r="B58" t="s">
        <v>331</v>
      </c>
      <c r="C58" s="56">
        <f>Assumptions!$C$69*'Unit Costs'!$G$26</f>
        <v>3225</v>
      </c>
      <c r="D58" s="56">
        <f>IF(AND(Assumptions!$C$11="Yes",OR(Assumptions!$C$12=Lists!$AB$2,Assumptions!$C$12=Lists!$AB$3)), C58, 0)</f>
        <v>0</v>
      </c>
      <c r="E58" s="56">
        <f>D58/Assumptions!$C$66</f>
        <v>0</v>
      </c>
      <c r="F58" t="s">
        <v>366</v>
      </c>
    </row>
    <row r="59" spans="1:9" x14ac:dyDescent="0.3">
      <c r="A59" s="68"/>
      <c r="B59" t="s">
        <v>332</v>
      </c>
      <c r="C59" s="56">
        <f>(Assumptions!$C$69-1)*'Unit Costs'!$G$27</f>
        <v>5760</v>
      </c>
      <c r="D59" s="56">
        <f>IF(AND(Assumptions!$C$11="Yes",OR(Assumptions!$C$12=Lists!$AB$2,Assumptions!$C$12=Lists!$AB$3)), C59, 0)</f>
        <v>0</v>
      </c>
      <c r="E59" s="56">
        <f>D59/Assumptions!$C$66</f>
        <v>0</v>
      </c>
      <c r="F59" t="s">
        <v>366</v>
      </c>
    </row>
    <row r="60" spans="1:9" x14ac:dyDescent="0.3">
      <c r="A60" s="68"/>
      <c r="B60" s="149" t="s">
        <v>555</v>
      </c>
      <c r="C60" s="56">
        <f>'Unit Costs'!$G$32*ROUNDUP($B$6/Assumptions!$C$64,0)*Assumptions!C$69/($B$6)</f>
        <v>1843.7142857142858</v>
      </c>
      <c r="D60" s="56">
        <f>IF(AND(Assumptions!$C$11="Yes",OR(Assumptions!$C$12=Lists!$AB$2,Assumptions!$C$12=Lists!$AB$3)), C60, 0)*Assumptions!$G$65</f>
        <v>0</v>
      </c>
      <c r="E60" s="56">
        <f>D60/Assumptions!$C$66</f>
        <v>0</v>
      </c>
      <c r="F60" t="s">
        <v>366</v>
      </c>
    </row>
    <row r="61" spans="1:9" x14ac:dyDescent="0.3">
      <c r="A61" s="68"/>
    </row>
    <row r="62" spans="1:9" x14ac:dyDescent="0.3">
      <c r="A62" s="68" t="s">
        <v>334</v>
      </c>
      <c r="B62" t="s">
        <v>335</v>
      </c>
      <c r="C62" s="56">
        <f>'Unit Costs'!$G$29</f>
        <v>516251</v>
      </c>
      <c r="D62" s="56">
        <f>IF(AND(Assumptions!$C$11="Yes",OR(Assumptions!$C$12=Lists!$AB$2,Assumptions!$C$12=Lists!$AB$3)), C62, 0)</f>
        <v>0</v>
      </c>
      <c r="E62" s="56">
        <f t="shared" ref="E62:E67" si="1">D62</f>
        <v>0</v>
      </c>
      <c r="F62" t="s">
        <v>366</v>
      </c>
    </row>
    <row r="63" spans="1:9" x14ac:dyDescent="0.3">
      <c r="A63" s="68"/>
      <c r="B63" t="s">
        <v>336</v>
      </c>
      <c r="C63" s="56">
        <f>'Unit Costs'!$G$30*$B$7/$B$6</f>
        <v>35400.057142857142</v>
      </c>
      <c r="D63" s="56">
        <f>IF(AND(Assumptions!$C$11="Yes",OR(Assumptions!$C$12=Lists!$AB$2,Assumptions!$C$12=Lists!$AB$3)), C63, 0)</f>
        <v>0</v>
      </c>
      <c r="E63" s="56">
        <f t="shared" si="1"/>
        <v>0</v>
      </c>
      <c r="F63" t="s">
        <v>366</v>
      </c>
    </row>
    <row r="64" spans="1:9" x14ac:dyDescent="0.3">
      <c r="A64" s="68"/>
      <c r="B64" t="s">
        <v>337</v>
      </c>
      <c r="C64" s="56">
        <f>'Unit Costs'!$G$40</f>
        <v>4337</v>
      </c>
      <c r="D64" s="56">
        <f>IF(AND(Assumptions!$C$11="Yes",OR(Assumptions!$C$12=Lists!$AB$2,Assumptions!$C$12=Lists!$AB$3)), C64, 0)</f>
        <v>0</v>
      </c>
      <c r="E64" s="56">
        <f t="shared" si="1"/>
        <v>0</v>
      </c>
      <c r="F64" t="s">
        <v>366</v>
      </c>
    </row>
    <row r="65" spans="1:8" x14ac:dyDescent="0.3">
      <c r="A65" s="68"/>
      <c r="B65" t="s">
        <v>338</v>
      </c>
      <c r="C65" s="56">
        <f>4*(Assumptions!$C$70*'Unit Costs'!$G$26)</f>
        <v>5160</v>
      </c>
      <c r="D65" s="56">
        <f>IF(AND(Assumptions!$C$11="Yes",OR(Assumptions!$C$12=Lists!$AB$2,Assumptions!$C$12=Lists!$AB$3)), C65, 0)</f>
        <v>0</v>
      </c>
      <c r="E65" s="56">
        <f t="shared" si="1"/>
        <v>0</v>
      </c>
      <c r="F65" t="s">
        <v>366</v>
      </c>
    </row>
    <row r="66" spans="1:8" x14ac:dyDescent="0.3">
      <c r="A66" s="68"/>
      <c r="B66" t="s">
        <v>339</v>
      </c>
      <c r="C66" s="56">
        <f>4*((Assumptions!$C$70-1)*'Unit Costs'!$G$27)</f>
        <v>5760</v>
      </c>
      <c r="D66" s="56">
        <f>IF(AND(Assumptions!$C$11="Yes",OR(Assumptions!$C$12=Lists!$AB$2,Assumptions!$C$12=Lists!$AB$3)), C66, 0)</f>
        <v>0</v>
      </c>
      <c r="E66" s="56">
        <f t="shared" si="1"/>
        <v>0</v>
      </c>
      <c r="F66" t="s">
        <v>366</v>
      </c>
    </row>
    <row r="67" spans="1:8" x14ac:dyDescent="0.3">
      <c r="A67" s="68"/>
      <c r="B67" s="149" t="s">
        <v>556</v>
      </c>
      <c r="C67" s="56">
        <f>4*'Unit Costs'!$G$32*ROUNDUP($B$6/Assumptions!$C$64,0)*Assumptions!$C$70/($B$6)</f>
        <v>2949.9428571428571</v>
      </c>
      <c r="D67" s="56">
        <f>IF(AND(Assumptions!$C$11="Yes",OR(Assumptions!$C$12=Lists!$AB$2,Assumptions!$C$12=Lists!$AB$3)), C67, 0)*Assumptions!$G$65</f>
        <v>0</v>
      </c>
      <c r="E67" s="56">
        <f t="shared" si="1"/>
        <v>0</v>
      </c>
      <c r="F67" t="s">
        <v>366</v>
      </c>
    </row>
    <row r="68" spans="1:8" x14ac:dyDescent="0.3">
      <c r="A68" s="68"/>
    </row>
    <row r="69" spans="1:8" x14ac:dyDescent="0.3">
      <c r="A69" s="68" t="s">
        <v>341</v>
      </c>
      <c r="B69" s="63" t="s">
        <v>342</v>
      </c>
      <c r="C69" s="64">
        <f>'Unit Costs'!$G$41</f>
        <v>69694</v>
      </c>
      <c r="D69" s="64">
        <f>IF(AND(Assumptions!$C$11="Yes",Assumptions!$C$12=Lists!$AB$2), C69, 0)</f>
        <v>0</v>
      </c>
      <c r="E69" s="64">
        <f>D69</f>
        <v>0</v>
      </c>
      <c r="F69" t="s">
        <v>366</v>
      </c>
      <c r="G69" t="s">
        <v>343</v>
      </c>
    </row>
    <row r="70" spans="1:8" x14ac:dyDescent="0.3">
      <c r="A70" s="68"/>
      <c r="B70" s="63" t="s">
        <v>557</v>
      </c>
      <c r="C70" s="64">
        <f>'Unit Costs'!$G$42</f>
        <v>30975</v>
      </c>
      <c r="D70" s="64">
        <f>IF(AND(Assumptions!$C$11="Yes",Assumptions!$C$12=Lists!$AB$2), C70, 0)</f>
        <v>0</v>
      </c>
      <c r="E70" s="64">
        <f>D70</f>
        <v>0</v>
      </c>
      <c r="F70" t="s">
        <v>366</v>
      </c>
    </row>
    <row r="71" spans="1:8" x14ac:dyDescent="0.3">
      <c r="A71" s="68"/>
      <c r="C71" s="56"/>
      <c r="D71" s="56"/>
      <c r="E71" s="56"/>
    </row>
    <row r="72" spans="1:8" x14ac:dyDescent="0.3">
      <c r="A72" s="68" t="s">
        <v>345</v>
      </c>
      <c r="B72" t="s">
        <v>346</v>
      </c>
      <c r="C72" s="56">
        <f>'Unit Costs'!$G$43</f>
        <v>10067</v>
      </c>
      <c r="D72" s="56">
        <f>IF(AND(Assumptions!$C$11="Yes",Assumptions!$C$12=Lists!$AB$3),C72,0)</f>
        <v>0</v>
      </c>
      <c r="E72" s="56">
        <f>D72</f>
        <v>0</v>
      </c>
      <c r="F72" t="s">
        <v>366</v>
      </c>
    </row>
    <row r="73" spans="1:8" x14ac:dyDescent="0.3">
      <c r="A73" s="68"/>
      <c r="C73" s="56"/>
      <c r="D73" s="56"/>
      <c r="E73" s="56"/>
    </row>
    <row r="74" spans="1:8" x14ac:dyDescent="0.3">
      <c r="A74" s="68"/>
    </row>
    <row r="75" spans="1:8" ht="15.6" x14ac:dyDescent="0.3">
      <c r="A75" s="13" t="s">
        <v>347</v>
      </c>
      <c r="B75" s="13"/>
      <c r="C75" s="13"/>
      <c r="D75" s="13"/>
      <c r="E75" s="13"/>
      <c r="F75" s="13"/>
      <c r="H75" s="60"/>
    </row>
    <row r="76" spans="1:8" x14ac:dyDescent="0.3">
      <c r="A76" s="68" t="s">
        <v>326</v>
      </c>
      <c r="B76" t="s">
        <v>348</v>
      </c>
      <c r="C76" s="56">
        <f>'Unit Costs'!$G$21*'Unit Costs'!$E$21</f>
        <v>61950.119999999995</v>
      </c>
      <c r="D76" s="56">
        <f>IF(AND(Assumptions!$C$11="Yes",Assumptions!$C$12=Lists!$AB$4), C76, 0)</f>
        <v>0</v>
      </c>
      <c r="E76" s="56">
        <f>D76/Assumptions!$C$75</f>
        <v>0</v>
      </c>
      <c r="F76" t="s">
        <v>572</v>
      </c>
      <c r="H76" s="59"/>
    </row>
    <row r="77" spans="1:8" x14ac:dyDescent="0.3">
      <c r="A77" s="68"/>
      <c r="B77" t="s">
        <v>350</v>
      </c>
      <c r="C77" s="56">
        <f>'Unit Costs'!$G$44</f>
        <v>7744</v>
      </c>
      <c r="D77" s="56">
        <f>IF(AND(Assumptions!$C$11="Yes",Assumptions!$C$12=Lists!$AB$4), C77, 0)</f>
        <v>0</v>
      </c>
      <c r="E77" s="56">
        <f>D77/Assumptions!$C$76</f>
        <v>0</v>
      </c>
      <c r="F77" t="s">
        <v>572</v>
      </c>
    </row>
    <row r="78" spans="1:8" x14ac:dyDescent="0.3">
      <c r="A78" s="68"/>
      <c r="B78" t="s">
        <v>330</v>
      </c>
      <c r="C78" s="56">
        <f>'Unit Costs'!$G$24</f>
        <v>38719</v>
      </c>
      <c r="D78" s="56">
        <f>IF(AND(Assumptions!$C$11="Yes",Assumptions!$C$12=Lists!$AB$4), C78, 0)</f>
        <v>0</v>
      </c>
      <c r="E78" s="56">
        <f>D78/Assumptions!$C$75</f>
        <v>0</v>
      </c>
      <c r="F78" t="s">
        <v>572</v>
      </c>
    </row>
    <row r="79" spans="1:8" x14ac:dyDescent="0.3">
      <c r="A79" s="68"/>
      <c r="B79" t="s">
        <v>351</v>
      </c>
      <c r="C79" s="56">
        <f>Assumptions!$C$69*'Unit Costs'!$G$26</f>
        <v>3225</v>
      </c>
      <c r="D79" s="56">
        <f>IF(AND(Assumptions!$C$11="Yes",Assumptions!$C$12=Lists!$AB$4), C79, 0)</f>
        <v>0</v>
      </c>
      <c r="E79" s="56">
        <f>D79/Assumptions!$C$75</f>
        <v>0</v>
      </c>
      <c r="F79" t="s">
        <v>572</v>
      </c>
    </row>
    <row r="80" spans="1:8" x14ac:dyDescent="0.3">
      <c r="A80" s="68"/>
      <c r="B80" t="s">
        <v>352</v>
      </c>
      <c r="C80" s="56">
        <f>(Assumptions!$C$69-1)*'Unit Costs'!$G$27</f>
        <v>5760</v>
      </c>
      <c r="D80" s="56">
        <f>IF(AND(Assumptions!$C$11="Yes",Assumptions!$C$12=Lists!$AB$4), C80, 0)</f>
        <v>0</v>
      </c>
      <c r="E80" s="56">
        <f>D80/Assumptions!$C$75</f>
        <v>0</v>
      </c>
      <c r="F80" t="s">
        <v>572</v>
      </c>
    </row>
    <row r="81" spans="1:6" x14ac:dyDescent="0.3">
      <c r="A81" s="68"/>
      <c r="B81" s="149" t="s">
        <v>353</v>
      </c>
      <c r="C81" s="56">
        <f>'Unit Costs'!$G$32*ROUNDUP($B$9/Assumptions!$C$74,0)*Assumptions!$C$80*Assumptions!$C$81/($B$9)</f>
        <v>0</v>
      </c>
      <c r="D81" s="56">
        <f>IF(AND(Assumptions!$C$11="Yes",Assumptions!$C$12=Lists!$AB$4), C81, 0)*Assumptions!$G$79</f>
        <v>0</v>
      </c>
      <c r="E81" s="56">
        <f>D81/Assumptions!$C$75</f>
        <v>0</v>
      </c>
      <c r="F81" t="s">
        <v>572</v>
      </c>
    </row>
    <row r="82" spans="1:6" x14ac:dyDescent="0.3">
      <c r="A82" s="68"/>
    </row>
    <row r="83" spans="1:6" x14ac:dyDescent="0.3">
      <c r="A83" s="68" t="s">
        <v>354</v>
      </c>
      <c r="B83" t="s">
        <v>355</v>
      </c>
      <c r="C83" s="56">
        <f>'Unit Costs'!$G$29</f>
        <v>516251</v>
      </c>
      <c r="D83" s="56">
        <f>IF(AND(Assumptions!$C$11="Yes",Assumptions!$C$12=Lists!$AB$4), C83, 0)</f>
        <v>0</v>
      </c>
      <c r="E83" s="56">
        <f t="shared" ref="E83:E88" si="2">D83</f>
        <v>0</v>
      </c>
      <c r="F83" t="s">
        <v>572</v>
      </c>
    </row>
    <row r="84" spans="1:6" x14ac:dyDescent="0.3">
      <c r="A84" s="68"/>
      <c r="B84" t="s">
        <v>356</v>
      </c>
      <c r="C84" s="56">
        <f>'Unit Costs'!$G$30*$B$11/$B$10</f>
        <v>31860.051428571427</v>
      </c>
      <c r="D84" s="56">
        <f>IF(AND(Assumptions!$C$11="Yes",Assumptions!$C$12=Lists!$AB$4), C84, 0)</f>
        <v>0</v>
      </c>
      <c r="E84" s="56">
        <f t="shared" si="2"/>
        <v>0</v>
      </c>
      <c r="F84" t="s">
        <v>572</v>
      </c>
    </row>
    <row r="85" spans="1:6" x14ac:dyDescent="0.3">
      <c r="A85" s="68"/>
      <c r="B85" t="s">
        <v>337</v>
      </c>
      <c r="C85" s="56">
        <f>'Unit Costs'!$G$40</f>
        <v>4337</v>
      </c>
      <c r="D85" s="56">
        <f>IF(AND(Assumptions!$C$11="Yes",Assumptions!$C$12=Lists!$AB$4), C85, 0)</f>
        <v>0</v>
      </c>
      <c r="E85" s="56">
        <f t="shared" si="2"/>
        <v>0</v>
      </c>
      <c r="F85" t="s">
        <v>572</v>
      </c>
    </row>
    <row r="86" spans="1:6" x14ac:dyDescent="0.3">
      <c r="A86" s="68"/>
      <c r="B86" t="s">
        <v>357</v>
      </c>
      <c r="C86" s="56">
        <f>4*(Assumptions!$C$70*'Unit Costs'!$G$26)</f>
        <v>5160</v>
      </c>
      <c r="D86" s="56">
        <f>IF(AND(Assumptions!$C$11="Yes",Assumptions!$C$12=Lists!$AB$4), C86, 0)</f>
        <v>0</v>
      </c>
      <c r="E86" s="56">
        <f t="shared" si="2"/>
        <v>0</v>
      </c>
      <c r="F86" t="s">
        <v>572</v>
      </c>
    </row>
    <row r="87" spans="1:6" x14ac:dyDescent="0.3">
      <c r="A87" s="68"/>
      <c r="B87" t="s">
        <v>358</v>
      </c>
      <c r="C87" s="56">
        <f>4*((Assumptions!$C$70-1)*'Unit Costs'!$G$27)</f>
        <v>5760</v>
      </c>
      <c r="D87" s="56">
        <f>IF(AND(Assumptions!$C$11="Yes",Assumptions!$C$12=Lists!$AB$4), C87, 0)</f>
        <v>0</v>
      </c>
      <c r="E87" s="56">
        <f t="shared" si="2"/>
        <v>0</v>
      </c>
      <c r="F87" t="s">
        <v>572</v>
      </c>
    </row>
    <row r="88" spans="1:6" x14ac:dyDescent="0.3">
      <c r="A88" s="68"/>
      <c r="B88" s="149" t="s">
        <v>359</v>
      </c>
      <c r="C88" s="56">
        <f>'Unit Costs'!$G$32*ROUNDUP($B$9/Assumptions!$C$74,0)*Assumptions!$C$82*Assumptions!$C$83/($B$9)</f>
        <v>0</v>
      </c>
      <c r="D88" s="56">
        <f>IF(AND(Assumptions!$C$11="Yes",Assumptions!$C$12=Lists!$AB$4), C88, 0)*Assumptions!$G$79</f>
        <v>0</v>
      </c>
      <c r="E88" s="56">
        <f t="shared" si="2"/>
        <v>0</v>
      </c>
      <c r="F88" t="s">
        <v>572</v>
      </c>
    </row>
    <row r="89" spans="1:6" x14ac:dyDescent="0.3">
      <c r="A89" s="68"/>
    </row>
    <row r="90" spans="1:6" x14ac:dyDescent="0.3">
      <c r="A90" s="68" t="s">
        <v>360</v>
      </c>
      <c r="B90" s="63" t="s">
        <v>361</v>
      </c>
      <c r="C90" s="64">
        <f>'Unit Costs'!$G$41</f>
        <v>69694</v>
      </c>
      <c r="D90" s="56">
        <f>IF(AND(Assumptions!$C$11="Yes",Assumptions!$C$12=Lists!$AB$4), C90, 0)</f>
        <v>0</v>
      </c>
      <c r="E90" s="64">
        <f>D90</f>
        <v>0</v>
      </c>
      <c r="F90" t="s">
        <v>572</v>
      </c>
    </row>
    <row r="91" spans="1:6" x14ac:dyDescent="0.3">
      <c r="A91" s="68"/>
      <c r="B91" s="63" t="s">
        <v>344</v>
      </c>
      <c r="C91" s="64">
        <f>'Unit Costs'!$G$42</f>
        <v>30975</v>
      </c>
      <c r="D91" s="56">
        <f>IF(AND(Assumptions!$C$11="Yes",Assumptions!$C$12=Lists!$AB$4), C91, 0)</f>
        <v>0</v>
      </c>
      <c r="E91" s="64">
        <f>D91</f>
        <v>0</v>
      </c>
      <c r="F91" t="s">
        <v>572</v>
      </c>
    </row>
    <row r="92" spans="1:6" x14ac:dyDescent="0.3">
      <c r="A92" s="68"/>
      <c r="D92" s="56"/>
    </row>
    <row r="93" spans="1:6" x14ac:dyDescent="0.3">
      <c r="A93" s="68"/>
      <c r="D93" s="56"/>
    </row>
    <row r="94" spans="1:6" x14ac:dyDescent="0.3">
      <c r="A94" s="68" t="s">
        <v>362</v>
      </c>
      <c r="B94" t="s">
        <v>363</v>
      </c>
      <c r="C94" s="56">
        <f>(('Unit Costs'!$G$35+(Assumptions!$C$80-2)*'Unit Costs'!$G$36)*Assumptions!$C$81)*$B$9/$B$10</f>
        <v>0</v>
      </c>
      <c r="D94" s="56">
        <f>IF(AND(Assumptions!$C$11="Yes",Assumptions!$C$12=Lists!$AB$4),C94,0)</f>
        <v>0</v>
      </c>
      <c r="E94" s="56">
        <f>D94</f>
        <v>0</v>
      </c>
      <c r="F94" t="s">
        <v>572</v>
      </c>
    </row>
    <row r="95" spans="1:6" x14ac:dyDescent="0.3">
      <c r="A95" s="68"/>
      <c r="B95" t="s">
        <v>364</v>
      </c>
      <c r="C95" s="56">
        <f>(('Unit Costs'!$G$35+(Assumptions!$C$82-2)*'Unit Costs'!$G$36)*Assumptions!$C$83)*$B$9/$B$10</f>
        <v>0</v>
      </c>
      <c r="D95" s="56">
        <f>IF(AND(Assumptions!$C$11="Yes",Assumptions!$C$12=Lists!$AB$4),C95,0)</f>
        <v>0</v>
      </c>
      <c r="E95" s="56">
        <f>D95</f>
        <v>0</v>
      </c>
      <c r="F95" t="s">
        <v>572</v>
      </c>
    </row>
    <row r="96" spans="1:6" x14ac:dyDescent="0.3">
      <c r="A96" s="68"/>
      <c r="C96" s="56"/>
      <c r="D96" s="56"/>
      <c r="E96" s="56"/>
    </row>
    <row r="98" spans="1:9" ht="18" x14ac:dyDescent="0.35">
      <c r="A98" s="58" t="s">
        <v>365</v>
      </c>
      <c r="B98" s="58"/>
      <c r="C98" s="58"/>
      <c r="D98" s="58"/>
      <c r="E98" s="58"/>
      <c r="F98" s="58"/>
      <c r="G98" s="58"/>
      <c r="H98" s="58"/>
      <c r="I98" s="58"/>
    </row>
    <row r="99" spans="1:9" x14ac:dyDescent="0.3">
      <c r="A99" s="13" t="s">
        <v>14</v>
      </c>
      <c r="E99" s="56">
        <f>SUM(E15:$E$31)</f>
        <v>74599.333333333328</v>
      </c>
      <c r="F99" t="s">
        <v>299</v>
      </c>
    </row>
    <row r="100" spans="1:9" x14ac:dyDescent="0.3">
      <c r="E100" s="56">
        <f>E99/$B$6</f>
        <v>4262.8190476190475</v>
      </c>
      <c r="F100" t="s">
        <v>366</v>
      </c>
    </row>
    <row r="101" spans="1:9" x14ac:dyDescent="0.3">
      <c r="E101" s="74">
        <f>E99/$B$3</f>
        <v>71.046984126984128</v>
      </c>
      <c r="F101" s="75" t="s">
        <v>311</v>
      </c>
    </row>
    <row r="103" spans="1:9" x14ac:dyDescent="0.3">
      <c r="A103" s="13" t="s">
        <v>15</v>
      </c>
      <c r="E103" s="74">
        <f>SUM($E$34:$E$43)</f>
        <v>1060</v>
      </c>
      <c r="F103" s="75" t="s">
        <v>311</v>
      </c>
    </row>
    <row r="104" spans="1:9" x14ac:dyDescent="0.3">
      <c r="E104" s="56"/>
    </row>
    <row r="105" spans="1:9" x14ac:dyDescent="0.3">
      <c r="A105" s="13" t="s">
        <v>16</v>
      </c>
      <c r="E105" s="74">
        <f>SUM($E$46:$E$51)</f>
        <v>3892.2</v>
      </c>
      <c r="F105" s="75" t="s">
        <v>311</v>
      </c>
    </row>
    <row r="107" spans="1:9" x14ac:dyDescent="0.3">
      <c r="A107" s="13" t="s">
        <v>17</v>
      </c>
      <c r="E107" s="56">
        <f>SUM($E$55:$E$72)</f>
        <v>0</v>
      </c>
      <c r="F107" t="s">
        <v>366</v>
      </c>
    </row>
    <row r="108" spans="1:9" x14ac:dyDescent="0.3">
      <c r="E108" s="74">
        <f>E107*$B$6/$B$3</f>
        <v>0</v>
      </c>
      <c r="F108" s="75" t="s">
        <v>311</v>
      </c>
    </row>
    <row r="109" spans="1:9" x14ac:dyDescent="0.3">
      <c r="E109" s="56"/>
    </row>
    <row r="110" spans="1:9" x14ac:dyDescent="0.3">
      <c r="A110" s="13" t="s">
        <v>18</v>
      </c>
      <c r="E110" s="56">
        <f>SUM($E$76:$E$96)</f>
        <v>0</v>
      </c>
      <c r="F110" t="s">
        <v>367</v>
      </c>
    </row>
    <row r="111" spans="1:9" x14ac:dyDescent="0.3">
      <c r="E111" s="74">
        <f>E110*$B$10/$B$3</f>
        <v>0</v>
      </c>
      <c r="F111" s="75" t="s">
        <v>311</v>
      </c>
    </row>
    <row r="112" spans="1:9" x14ac:dyDescent="0.3">
      <c r="E112" s="56"/>
    </row>
    <row r="113" spans="1:8" x14ac:dyDescent="0.3">
      <c r="A113" s="13" t="s">
        <v>19</v>
      </c>
      <c r="E113" s="74">
        <f>SUM(E101,E103,E105,E108)*Assumptions!$C$22</f>
        <v>251.16234920634921</v>
      </c>
      <c r="F113" s="75" t="s">
        <v>311</v>
      </c>
    </row>
    <row r="115" spans="1:8" x14ac:dyDescent="0.3">
      <c r="A115" s="70" t="s">
        <v>368</v>
      </c>
      <c r="B115" s="55"/>
      <c r="C115" s="55"/>
      <c r="D115" s="55"/>
      <c r="E115" s="71">
        <f>SUM($E$101,$E$103,$E$105,$E$108,$E$111,$E$113)</f>
        <v>5274.4093333333331</v>
      </c>
      <c r="F115" s="70" t="s">
        <v>311</v>
      </c>
      <c r="G115" s="56"/>
    </row>
    <row r="116" spans="1:8" x14ac:dyDescent="0.3">
      <c r="A116" s="69"/>
      <c r="B116" s="69"/>
      <c r="C116" s="69"/>
      <c r="D116" s="69"/>
      <c r="E116" s="72">
        <f>E115/Assumptions!$C$20</f>
        <v>150.69740952380951</v>
      </c>
      <c r="F116" s="73" t="s">
        <v>369</v>
      </c>
      <c r="G116" s="56"/>
    </row>
    <row r="117" spans="1:8" x14ac:dyDescent="0.3">
      <c r="A117" s="70" t="s">
        <v>370</v>
      </c>
      <c r="B117" s="55"/>
      <c r="C117" s="55"/>
      <c r="D117" s="55"/>
      <c r="E117" s="80">
        <f>E115/Assumptions!$C$23</f>
        <v>285.10320720720722</v>
      </c>
      <c r="F117" s="70" t="s">
        <v>311</v>
      </c>
      <c r="G117" s="56"/>
      <c r="H117" s="79"/>
    </row>
    <row r="118" spans="1:8" x14ac:dyDescent="0.3">
      <c r="A118" s="69"/>
      <c r="B118" s="69"/>
      <c r="C118" s="69"/>
      <c r="D118" s="69"/>
      <c r="E118" s="81">
        <f>E117/Assumptions!$C$20</f>
        <v>8.1458059202059214</v>
      </c>
      <c r="F118" s="73" t="s">
        <v>369</v>
      </c>
      <c r="G118" s="56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644B6-62CB-4FA6-B7A0-C4B9646CB99F}">
  <sheetPr>
    <tabColor rgb="FF00B050"/>
  </sheetPr>
  <dimension ref="A1:I118"/>
  <sheetViews>
    <sheetView zoomScaleNormal="100" workbookViewId="0">
      <pane xSplit="1" ySplit="14" topLeftCell="C38" activePane="bottomRight" state="frozen"/>
      <selection pane="topRight" activeCell="A28" sqref="A28"/>
      <selection pane="bottomLeft" activeCell="A28" sqref="A28"/>
      <selection pane="bottomRight" activeCell="E43" sqref="E43"/>
    </sheetView>
  </sheetViews>
  <sheetFormatPr defaultRowHeight="14.4" x14ac:dyDescent="0.3"/>
  <cols>
    <col min="1" max="1" width="47" customWidth="1"/>
    <col min="2" max="2" width="59.44140625" bestFit="1" customWidth="1"/>
    <col min="3" max="3" width="22.33203125" customWidth="1"/>
    <col min="4" max="4" width="28.6640625" customWidth="1"/>
    <col min="5" max="5" width="27.6640625" customWidth="1"/>
    <col min="6" max="6" width="38.6640625" customWidth="1"/>
    <col min="7" max="7" width="9.33203125" bestFit="1" customWidth="1"/>
    <col min="8" max="8" width="34" customWidth="1"/>
    <col min="10" max="10" width="28.88671875" customWidth="1"/>
  </cols>
  <sheetData>
    <row r="1" spans="1:9" ht="18" x14ac:dyDescent="0.35">
      <c r="A1" s="58" t="s">
        <v>282</v>
      </c>
      <c r="B1" s="58"/>
      <c r="C1" s="58"/>
      <c r="D1" s="58"/>
      <c r="E1" s="58"/>
      <c r="F1" s="58"/>
      <c r="G1" s="58"/>
      <c r="H1" s="58"/>
      <c r="I1" s="58"/>
    </row>
    <row r="2" spans="1:9" ht="13.5" customHeight="1" x14ac:dyDescent="0.3">
      <c r="A2" t="s">
        <v>283</v>
      </c>
      <c r="B2" s="59">
        <f>Assumptions!$D$14</f>
        <v>175</v>
      </c>
      <c r="C2" s="13"/>
      <c r="D2" s="13"/>
    </row>
    <row r="3" spans="1:9" ht="13.5" customHeight="1" x14ac:dyDescent="0.3">
      <c r="A3" t="s">
        <v>284</v>
      </c>
      <c r="B3" s="59">
        <f>Assumptions!$D$14*Assumptions!$D$16</f>
        <v>1050</v>
      </c>
      <c r="C3" s="13"/>
      <c r="D3" s="13"/>
    </row>
    <row r="4" spans="1:9" ht="13.5" customHeight="1" x14ac:dyDescent="0.3">
      <c r="A4" t="s">
        <v>285</v>
      </c>
      <c r="B4" s="59">
        <f>$B$3*Assumptions!$D$20</f>
        <v>36750</v>
      </c>
      <c r="C4" s="13"/>
      <c r="D4" s="13"/>
      <c r="E4" s="59"/>
    </row>
    <row r="5" spans="1:9" ht="6.75" customHeight="1" x14ac:dyDescent="0.3">
      <c r="B5" s="59"/>
      <c r="C5" s="13"/>
      <c r="D5" s="13"/>
      <c r="E5" s="59"/>
    </row>
    <row r="6" spans="1:9" ht="13.5" customHeight="1" x14ac:dyDescent="0.3">
      <c r="A6" t="s">
        <v>286</v>
      </c>
      <c r="B6" s="59">
        <f>B3/Assumptions!$D$17</f>
        <v>17.5</v>
      </c>
      <c r="C6" s="13"/>
      <c r="D6" s="13"/>
      <c r="E6" s="59"/>
    </row>
    <row r="7" spans="1:9" ht="13.5" customHeight="1" x14ac:dyDescent="0.3">
      <c r="A7" t="s">
        <v>287</v>
      </c>
      <c r="B7" s="59">
        <f>ROUNDUP(B6/Assumptions!$D$64,0)</f>
        <v>1</v>
      </c>
      <c r="C7" s="13"/>
      <c r="D7" s="13"/>
    </row>
    <row r="8" spans="1:9" ht="6.75" customHeight="1" x14ac:dyDescent="0.3">
      <c r="B8" s="59"/>
      <c r="C8" s="13"/>
      <c r="D8" s="13"/>
    </row>
    <row r="9" spans="1:9" ht="13.5" customHeight="1" x14ac:dyDescent="0.3">
      <c r="A9" t="s">
        <v>288</v>
      </c>
      <c r="B9" s="59">
        <f>$B$2</f>
        <v>175</v>
      </c>
      <c r="C9" s="13"/>
      <c r="D9" s="13"/>
    </row>
    <row r="10" spans="1:9" ht="13.5" customHeight="1" x14ac:dyDescent="0.3">
      <c r="A10" t="s">
        <v>289</v>
      </c>
      <c r="B10" s="59">
        <f>ROUND($B$9/Assumptions!$D$18,0)</f>
        <v>175</v>
      </c>
    </row>
    <row r="11" spans="1:9" ht="13.5" customHeight="1" x14ac:dyDescent="0.3">
      <c r="A11" t="s">
        <v>290</v>
      </c>
      <c r="B11" s="59">
        <f>ROUNDUP($B$10/Assumptions!$D$74,0)</f>
        <v>9</v>
      </c>
    </row>
    <row r="12" spans="1:9" ht="6.75" customHeight="1" x14ac:dyDescent="0.3">
      <c r="B12" s="59"/>
    </row>
    <row r="13" spans="1:9" ht="18" x14ac:dyDescent="0.35">
      <c r="A13" s="58" t="s">
        <v>291</v>
      </c>
      <c r="B13" s="58"/>
      <c r="C13" s="58"/>
      <c r="D13" s="58"/>
      <c r="E13" s="58"/>
      <c r="F13" s="58"/>
      <c r="G13" s="58"/>
      <c r="H13" s="58"/>
      <c r="I13" s="58"/>
    </row>
    <row r="14" spans="1:9" s="13" customFormat="1" x14ac:dyDescent="0.3">
      <c r="A14" s="13" t="s">
        <v>292</v>
      </c>
      <c r="B14" s="13" t="s">
        <v>293</v>
      </c>
      <c r="C14" s="13" t="s">
        <v>294</v>
      </c>
      <c r="D14" s="13" t="s">
        <v>295</v>
      </c>
      <c r="E14" s="13" t="s">
        <v>296</v>
      </c>
      <c r="F14" s="13" t="s">
        <v>297</v>
      </c>
    </row>
    <row r="15" spans="1:9" x14ac:dyDescent="0.3">
      <c r="B15" t="s">
        <v>298</v>
      </c>
      <c r="C15" s="56">
        <f>'Unit Costs'!$G$3*Assumptions!$D$27</f>
        <v>77440</v>
      </c>
      <c r="D15" s="56">
        <f>C15</f>
        <v>77440</v>
      </c>
      <c r="E15" s="56">
        <f>D15/Assumptions!$D$31</f>
        <v>6453.333333333333</v>
      </c>
      <c r="F15" t="s">
        <v>299</v>
      </c>
      <c r="H15" s="57"/>
    </row>
    <row r="16" spans="1:9" x14ac:dyDescent="0.3">
      <c r="B16" t="s">
        <v>300</v>
      </c>
      <c r="C16" s="56">
        <f>('Unit Costs'!$G$4+'Unit Costs'!$G$5)*Assumptions!$D$29*Assumptions!$D$28</f>
        <v>135510</v>
      </c>
      <c r="D16" s="56">
        <f>C16</f>
        <v>135510</v>
      </c>
      <c r="E16" s="56">
        <f>D16/Assumptions!$D$31</f>
        <v>11292.5</v>
      </c>
      <c r="F16" t="s">
        <v>299</v>
      </c>
    </row>
    <row r="17" spans="1:8" ht="15" customHeight="1" x14ac:dyDescent="0.3">
      <c r="B17" t="s">
        <v>569</v>
      </c>
      <c r="C17" s="56">
        <f>(('Unit Costs'!$G$6*Assumptions!$D$28)+('Unit Costs'!$G$7))*Assumptions!$D$30</f>
        <v>54408</v>
      </c>
      <c r="D17" s="56">
        <f>C17</f>
        <v>54408</v>
      </c>
      <c r="E17" s="56">
        <f>D17/Assumptions!$D$31</f>
        <v>4534</v>
      </c>
      <c r="F17" t="s">
        <v>299</v>
      </c>
    </row>
    <row r="18" spans="1:8" x14ac:dyDescent="0.3">
      <c r="B18" t="s">
        <v>302</v>
      </c>
      <c r="C18" s="56">
        <f>'Unit Costs'!$G$3*Assumptions!$D$38</f>
        <v>19360</v>
      </c>
      <c r="D18" s="56">
        <f>IF(Assumptions!$D$10="Home Language",0,$C18)</f>
        <v>0</v>
      </c>
      <c r="E18" s="56">
        <f>D18/Assumptions!$D$42</f>
        <v>0</v>
      </c>
      <c r="F18" t="s">
        <v>299</v>
      </c>
    </row>
    <row r="19" spans="1:8" x14ac:dyDescent="0.3">
      <c r="B19" t="s">
        <v>303</v>
      </c>
      <c r="C19" s="56">
        <f>('Unit Costs'!$G$4+'Unit Costs'!$G$5)*Assumptions!$D$39*Assumptions!$D$40</f>
        <v>67755</v>
      </c>
      <c r="D19" s="56">
        <f>IF(Assumptions!$D$10="Home Language",0,$C19)</f>
        <v>0</v>
      </c>
      <c r="E19" s="56">
        <f>D19/Assumptions!$D$42</f>
        <v>0</v>
      </c>
      <c r="F19" t="s">
        <v>299</v>
      </c>
    </row>
    <row r="20" spans="1:8" x14ac:dyDescent="0.3">
      <c r="B20" t="s">
        <v>558</v>
      </c>
      <c r="C20" s="56">
        <f>(('Unit Costs'!$G$6*Assumptions!$D$39)+('Unit Costs'!$G$7))*Assumptions!$D$41</f>
        <v>45272</v>
      </c>
      <c r="D20" s="56">
        <f>IF(Assumptions!$D$10="Home Language",0,$C20)</f>
        <v>0</v>
      </c>
      <c r="E20" s="56">
        <f>D20/Assumptions!$D$42</f>
        <v>0</v>
      </c>
      <c r="F20" t="s">
        <v>299</v>
      </c>
    </row>
    <row r="21" spans="1:8" x14ac:dyDescent="0.3">
      <c r="C21" s="56"/>
      <c r="D21" s="56"/>
      <c r="E21" s="56"/>
    </row>
    <row r="22" spans="1:8" x14ac:dyDescent="0.3">
      <c r="A22" s="13" t="s">
        <v>304</v>
      </c>
      <c r="C22" s="56"/>
      <c r="D22" s="56"/>
      <c r="E22" s="56"/>
      <c r="H22" s="57"/>
    </row>
    <row r="23" spans="1:8" x14ac:dyDescent="0.3">
      <c r="A23" s="13"/>
      <c r="B23" t="s">
        <v>305</v>
      </c>
      <c r="C23" s="56">
        <f>'Unit Costs'!$G$3*Assumptions!$D$32</f>
        <v>19360</v>
      </c>
      <c r="D23" s="56">
        <f>C23</f>
        <v>19360</v>
      </c>
      <c r="E23" s="56">
        <f>D23*Assumptions!$D$36/Assumptions!$D$31</f>
        <v>4840</v>
      </c>
      <c r="F23" t="s">
        <v>299</v>
      </c>
      <c r="H23" s="57"/>
    </row>
    <row r="24" spans="1:8" x14ac:dyDescent="0.3">
      <c r="B24" t="s">
        <v>300</v>
      </c>
      <c r="C24" s="56">
        <f>('Unit Costs'!$G$4+'Unit Costs'!$G$5)*Assumptions!$D$34*Assumptions!$D$33</f>
        <v>135510</v>
      </c>
      <c r="D24" s="56">
        <f>C24</f>
        <v>135510</v>
      </c>
      <c r="E24" s="56">
        <f>D24*Assumptions!$D$36/Assumptions!$D$31</f>
        <v>33877.5</v>
      </c>
      <c r="F24" t="s">
        <v>299</v>
      </c>
    </row>
    <row r="25" spans="1:8" ht="15" customHeight="1" x14ac:dyDescent="0.3">
      <c r="B25" t="s">
        <v>569</v>
      </c>
      <c r="C25" s="56">
        <f>(('Unit Costs'!$G$6*Assumptions!$D$33)+('Unit Costs'!$G$7))*Assumptions!$D$35</f>
        <v>54408</v>
      </c>
      <c r="D25" s="56">
        <f>C25</f>
        <v>54408</v>
      </c>
      <c r="E25" s="56">
        <f>D25*Assumptions!$D$36/Assumptions!$D$31</f>
        <v>13602</v>
      </c>
      <c r="F25" t="s">
        <v>299</v>
      </c>
    </row>
    <row r="26" spans="1:8" x14ac:dyDescent="0.3">
      <c r="B26" t="s">
        <v>306</v>
      </c>
      <c r="C26" s="56">
        <f>'Unit Costs'!$G$3*Assumptions!$D$43</f>
        <v>7744</v>
      </c>
      <c r="D26" s="56">
        <f>IF(Assumptions!$D$10="Home Language",0,$C26)</f>
        <v>0</v>
      </c>
      <c r="E26" s="56">
        <f>D26*Assumptions!$D$47/Assumptions!$D$42</f>
        <v>0</v>
      </c>
      <c r="F26" t="s">
        <v>299</v>
      </c>
    </row>
    <row r="27" spans="1:8" x14ac:dyDescent="0.3">
      <c r="B27" t="s">
        <v>303</v>
      </c>
      <c r="C27" s="56">
        <f>('Unit Costs'!$G$4+'Unit Costs'!$G$5)*Assumptions!$D$44*Assumptions!$D$45</f>
        <v>67755</v>
      </c>
      <c r="D27" s="56">
        <f>IF(Assumptions!$D$10="Home Language",0,$C27)</f>
        <v>0</v>
      </c>
      <c r="E27" s="56">
        <f>D27*Assumptions!$D$47/Assumptions!$D$42</f>
        <v>0</v>
      </c>
      <c r="F27" t="s">
        <v>299</v>
      </c>
    </row>
    <row r="28" spans="1:8" x14ac:dyDescent="0.3">
      <c r="B28" t="s">
        <v>558</v>
      </c>
      <c r="C28" s="56">
        <f>(('Unit Costs'!$G$6*Assumptions!$D$44)+('Unit Costs'!$G$7))*Assumptions!$D$46</f>
        <v>45272</v>
      </c>
      <c r="D28" s="56">
        <f>IF(Assumptions!$D$10="Home Language",0,$C28)</f>
        <v>0</v>
      </c>
      <c r="E28" s="56">
        <f>D28*Assumptions!$D$47/Assumptions!$D$42</f>
        <v>0</v>
      </c>
      <c r="F28" t="s">
        <v>299</v>
      </c>
    </row>
    <row r="29" spans="1:8" x14ac:dyDescent="0.3">
      <c r="C29" s="56"/>
      <c r="D29" s="56"/>
      <c r="E29" s="56"/>
    </row>
    <row r="30" spans="1:8" x14ac:dyDescent="0.3">
      <c r="A30" s="13" t="s">
        <v>307</v>
      </c>
      <c r="C30" s="56"/>
      <c r="D30" s="56"/>
      <c r="E30" s="56"/>
    </row>
    <row r="31" spans="1:8" x14ac:dyDescent="0.3">
      <c r="A31" s="13"/>
      <c r="B31" t="s">
        <v>308</v>
      </c>
      <c r="C31" s="56">
        <f>'Unit Costs'!$G$10</f>
        <v>150000</v>
      </c>
      <c r="D31" s="56">
        <f>IF(Assumptions!$D$13="Yes",$C31,0)</f>
        <v>0</v>
      </c>
      <c r="E31" s="56">
        <f>D31</f>
        <v>0</v>
      </c>
      <c r="F31" t="s">
        <v>299</v>
      </c>
    </row>
    <row r="33" spans="1:6" x14ac:dyDescent="0.3">
      <c r="A33" s="13" t="s">
        <v>309</v>
      </c>
      <c r="C33" s="56"/>
      <c r="D33" s="56"/>
      <c r="E33" s="56"/>
    </row>
    <row r="34" spans="1:6" x14ac:dyDescent="0.3">
      <c r="A34" s="13"/>
      <c r="B34" t="s">
        <v>310</v>
      </c>
      <c r="C34" s="56">
        <f>'Unit Costs'!$G$13</f>
        <v>1505</v>
      </c>
      <c r="D34" s="56">
        <f>C34</f>
        <v>1505</v>
      </c>
      <c r="E34" s="56">
        <f>D34/Assumptions!$D$50</f>
        <v>752.5</v>
      </c>
      <c r="F34" t="s">
        <v>311</v>
      </c>
    </row>
    <row r="35" spans="1:6" x14ac:dyDescent="0.3">
      <c r="B35" t="s">
        <v>312</v>
      </c>
      <c r="C35" s="56">
        <f>'Unit Costs'!$G$16</f>
        <v>811</v>
      </c>
      <c r="D35" s="56">
        <f>IF(Assumptions!$D$10="Home Language",0,$C35)</f>
        <v>0</v>
      </c>
      <c r="E35" s="56">
        <f>D35/Assumptions!$D$50</f>
        <v>0</v>
      </c>
      <c r="F35" t="s">
        <v>311</v>
      </c>
    </row>
    <row r="36" spans="1:6" x14ac:dyDescent="0.3">
      <c r="C36" s="56"/>
      <c r="D36" s="56"/>
      <c r="E36" s="56"/>
    </row>
    <row r="37" spans="1:6" x14ac:dyDescent="0.3">
      <c r="A37" s="13" t="s">
        <v>313</v>
      </c>
      <c r="C37" s="56"/>
      <c r="D37" s="56"/>
      <c r="E37" s="56"/>
    </row>
    <row r="38" spans="1:6" x14ac:dyDescent="0.3">
      <c r="A38" s="13"/>
      <c r="B38" t="s">
        <v>314</v>
      </c>
      <c r="C38" s="56">
        <f>'Unit Costs'!$G$12</f>
        <v>615</v>
      </c>
      <c r="D38" s="56">
        <f>IF(Assumptions!$D$13="Yes",0,$C38)</f>
        <v>615</v>
      </c>
      <c r="E38" s="56">
        <f>D38/Assumptions!$D$50</f>
        <v>307.5</v>
      </c>
      <c r="F38" t="s">
        <v>311</v>
      </c>
    </row>
    <row r="39" spans="1:6" x14ac:dyDescent="0.3">
      <c r="B39" t="s">
        <v>315</v>
      </c>
      <c r="C39" s="56">
        <f>'Unit Costs'!$G$15</f>
        <v>331</v>
      </c>
      <c r="D39" s="56">
        <f>IF(OR(Assumptions!$D$13="Yes", Assumptions!$D$10="Home Language"),0,$C39)</f>
        <v>0</v>
      </c>
      <c r="E39" s="56">
        <f>D39/Assumptions!$D$50</f>
        <v>0</v>
      </c>
      <c r="F39" t="s">
        <v>311</v>
      </c>
    </row>
    <row r="40" spans="1:6" x14ac:dyDescent="0.3">
      <c r="C40" s="56"/>
      <c r="D40" s="56"/>
      <c r="E40" s="56"/>
    </row>
    <row r="41" spans="1:6" x14ac:dyDescent="0.3">
      <c r="A41" s="13" t="s">
        <v>316</v>
      </c>
      <c r="C41" s="56"/>
      <c r="D41" s="56"/>
      <c r="E41" s="56"/>
    </row>
    <row r="42" spans="1:6" x14ac:dyDescent="0.3">
      <c r="A42" s="13"/>
      <c r="B42" t="s">
        <v>199</v>
      </c>
      <c r="C42" s="56">
        <f>'Unit Costs'!$G$18</f>
        <v>2839</v>
      </c>
      <c r="D42" s="56">
        <f>IF(Assumptions!$D$13="Yes",$C42,0)</f>
        <v>0</v>
      </c>
      <c r="E42" s="56">
        <f>D42/Assumptions!$D$50</f>
        <v>0</v>
      </c>
      <c r="F42" t="s">
        <v>311</v>
      </c>
    </row>
    <row r="43" spans="1:6" x14ac:dyDescent="0.3">
      <c r="B43" t="s">
        <v>203</v>
      </c>
      <c r="C43" s="56">
        <f>'Unit Costs'!$G$19</f>
        <v>900</v>
      </c>
      <c r="D43" s="56">
        <f>IF(Assumptions!$D$13="Yes",$C43,0)</f>
        <v>0</v>
      </c>
      <c r="E43" s="56">
        <f>D43</f>
        <v>0</v>
      </c>
      <c r="F43" t="s">
        <v>311</v>
      </c>
    </row>
    <row r="45" spans="1:6" x14ac:dyDescent="0.3">
      <c r="A45" s="13" t="s">
        <v>16</v>
      </c>
      <c r="C45" s="56"/>
      <c r="D45" s="56"/>
      <c r="E45" s="56"/>
    </row>
    <row r="46" spans="1:6" x14ac:dyDescent="0.3">
      <c r="A46" s="13"/>
      <c r="B46" t="s">
        <v>317</v>
      </c>
      <c r="C46" s="56">
        <f>'Unit Costs'!$G$37*(Assumptions!$D$55*Assumptions!$D$56)</f>
        <v>826</v>
      </c>
      <c r="D46" s="56">
        <f t="shared" ref="D46:E50" si="0">C46</f>
        <v>826</v>
      </c>
      <c r="E46" s="56">
        <f t="shared" si="0"/>
        <v>826</v>
      </c>
      <c r="F46" t="s">
        <v>311</v>
      </c>
    </row>
    <row r="47" spans="1:6" x14ac:dyDescent="0.3">
      <c r="A47" s="13"/>
      <c r="B47" t="s">
        <v>318</v>
      </c>
      <c r="C47" s="56">
        <f>(Assumptions!$D$55-1)*Assumptions!$D$56*'Unit Costs'!$G$34</f>
        <v>1440</v>
      </c>
      <c r="D47" s="56">
        <f>C47</f>
        <v>1440</v>
      </c>
      <c r="E47" s="56">
        <f>D47</f>
        <v>1440</v>
      </c>
      <c r="F47" t="s">
        <v>311</v>
      </c>
    </row>
    <row r="48" spans="1:6" x14ac:dyDescent="0.3">
      <c r="B48" t="s">
        <v>319</v>
      </c>
      <c r="C48" s="56">
        <f>'Unit Costs'!$G$37*(Assumptions!$D$57*Assumptions!$D$58)</f>
        <v>1239</v>
      </c>
      <c r="D48" s="56">
        <f t="shared" si="0"/>
        <v>1239</v>
      </c>
      <c r="E48" s="56">
        <f t="shared" si="0"/>
        <v>1239</v>
      </c>
      <c r="F48" t="s">
        <v>311</v>
      </c>
    </row>
    <row r="49" spans="1:9" x14ac:dyDescent="0.3">
      <c r="B49" t="s">
        <v>320</v>
      </c>
      <c r="C49" s="56">
        <f>(Assumptions!$D$57-1)*Assumptions!$D$58*'Unit Costs'!$G$34</f>
        <v>0</v>
      </c>
      <c r="D49" s="56">
        <f>C49</f>
        <v>0</v>
      </c>
      <c r="E49" s="56">
        <f>D49</f>
        <v>0</v>
      </c>
      <c r="F49" t="s">
        <v>311</v>
      </c>
    </row>
    <row r="50" spans="1:9" x14ac:dyDescent="0.3">
      <c r="B50" t="s">
        <v>321</v>
      </c>
      <c r="C50" s="56">
        <f>'Unit Costs'!$G$38*Assumptions!$D$59*Assumptions!$D$60</f>
        <v>0</v>
      </c>
      <c r="D50" s="56">
        <f t="shared" si="0"/>
        <v>0</v>
      </c>
      <c r="E50" s="56">
        <f t="shared" si="0"/>
        <v>0</v>
      </c>
      <c r="F50" t="s">
        <v>311</v>
      </c>
    </row>
    <row r="51" spans="1:9" x14ac:dyDescent="0.3">
      <c r="B51" s="149" t="s">
        <v>322</v>
      </c>
      <c r="C51" s="56">
        <f>'Unit Costs'!$G$31*ROUNDUP($B$3/Assumptions!$D$53,0)*(Assumptions!$D$55*Assumptions!$D$56+Assumptions!$D$57*Assumptions!$D$58)/$B$3</f>
        <v>387.2</v>
      </c>
      <c r="D51" s="56">
        <f>IF(Assumptions!$D$11 = "Yes", C51*Assumptions!$D$54, C51)</f>
        <v>96.8</v>
      </c>
      <c r="E51" s="56">
        <f>D51</f>
        <v>96.8</v>
      </c>
      <c r="F51" t="s">
        <v>311</v>
      </c>
      <c r="G51" t="s">
        <v>323</v>
      </c>
    </row>
    <row r="53" spans="1:9" ht="18" x14ac:dyDescent="0.35">
      <c r="A53" s="58" t="s">
        <v>324</v>
      </c>
      <c r="B53" s="58"/>
      <c r="C53" s="58"/>
      <c r="D53" s="58"/>
      <c r="E53" s="58"/>
      <c r="F53" s="58"/>
      <c r="G53" s="58"/>
      <c r="H53" s="58"/>
      <c r="I53" s="58"/>
    </row>
    <row r="54" spans="1:9" ht="15.6" x14ac:dyDescent="0.3">
      <c r="A54" s="13" t="s">
        <v>325</v>
      </c>
      <c r="B54" s="13"/>
      <c r="C54" s="13"/>
      <c r="D54" s="13"/>
      <c r="E54" s="13"/>
      <c r="F54" s="13"/>
      <c r="H54" s="60"/>
    </row>
    <row r="55" spans="1:9" x14ac:dyDescent="0.3">
      <c r="A55" s="68" t="s">
        <v>326</v>
      </c>
      <c r="B55" t="s">
        <v>327</v>
      </c>
      <c r="C55" s="56">
        <f>'Unit Costs'!$G$21*'Unit Costs'!$E$21</f>
        <v>61950.119999999995</v>
      </c>
      <c r="D55" s="56">
        <f>IF(AND(Assumptions!$D$11="Yes",OR(Assumptions!$D$12=Lists!$AB$2,Assumptions!$D$12=Lists!$AB$3)), C55, 0)</f>
        <v>61950.119999999995</v>
      </c>
      <c r="E55" s="56">
        <f>D55/Assumptions!$D$66</f>
        <v>12390.023999999999</v>
      </c>
      <c r="F55" t="s">
        <v>366</v>
      </c>
      <c r="H55" s="59"/>
    </row>
    <row r="56" spans="1:9" x14ac:dyDescent="0.3">
      <c r="A56" s="68"/>
      <c r="B56" t="s">
        <v>329</v>
      </c>
      <c r="C56" s="56">
        <f>'Unit Costs'!$G$44</f>
        <v>7744</v>
      </c>
      <c r="D56" s="56">
        <f>IF(AND(Assumptions!$D$11="Yes",OR(Assumptions!$D$12=Lists!$AB$2,Assumptions!$D$12=Lists!$AB$3)), C56, 0)</f>
        <v>7744</v>
      </c>
      <c r="E56" s="56">
        <f>D56/Assumptions!$D$67</f>
        <v>1548.8</v>
      </c>
      <c r="F56" t="s">
        <v>366</v>
      </c>
    </row>
    <row r="57" spans="1:9" x14ac:dyDescent="0.3">
      <c r="A57" s="68"/>
      <c r="B57" t="s">
        <v>330</v>
      </c>
      <c r="C57" s="56">
        <f>'Unit Costs'!$G$24</f>
        <v>38719</v>
      </c>
      <c r="D57" s="56">
        <f>IF(AND(Assumptions!$D$11="Yes",OR(Assumptions!$D$12=Lists!$AB$2,Assumptions!$D$12=Lists!$AB$3)), C57, 0)</f>
        <v>38719</v>
      </c>
      <c r="E57" s="56">
        <f>D57/Assumptions!$D$66</f>
        <v>7743.8</v>
      </c>
      <c r="F57" t="s">
        <v>366</v>
      </c>
    </row>
    <row r="58" spans="1:9" x14ac:dyDescent="0.3">
      <c r="A58" s="68"/>
      <c r="B58" t="s">
        <v>331</v>
      </c>
      <c r="C58" s="56">
        <f>Assumptions!$D$69*'Unit Costs'!$G$26</f>
        <v>3225</v>
      </c>
      <c r="D58" s="56">
        <f>IF(AND(Assumptions!$D$11="Yes",OR(Assumptions!$D$12=Lists!$AB$2,Assumptions!$D$12=Lists!$AB$3)), C58, 0)</f>
        <v>3225</v>
      </c>
      <c r="E58" s="56">
        <f>D58/Assumptions!$D$66</f>
        <v>645</v>
      </c>
      <c r="F58" t="s">
        <v>366</v>
      </c>
    </row>
    <row r="59" spans="1:9" x14ac:dyDescent="0.3">
      <c r="A59" s="68"/>
      <c r="B59" t="s">
        <v>332</v>
      </c>
      <c r="C59" s="56">
        <f>(Assumptions!$D$69-1)*'Unit Costs'!$G$27</f>
        <v>5760</v>
      </c>
      <c r="D59" s="56">
        <f>IF(AND(Assumptions!$D$11="Yes",OR(Assumptions!$D$12=Lists!$AB$2,Assumptions!$D$12=Lists!$AB$3)), C59, 0)</f>
        <v>5760</v>
      </c>
      <c r="E59" s="56">
        <f>D59/Assumptions!$D$66</f>
        <v>1152</v>
      </c>
      <c r="F59" t="s">
        <v>366</v>
      </c>
    </row>
    <row r="60" spans="1:9" x14ac:dyDescent="0.3">
      <c r="A60" s="68"/>
      <c r="B60" s="149" t="s">
        <v>555</v>
      </c>
      <c r="C60" s="56">
        <f>'Unit Costs'!$G$32*ROUNDUP($B$6/Assumptions!$D$64,0)*Assumptions!C$69/($B$6)</f>
        <v>1843.7142857142858</v>
      </c>
      <c r="D60" s="56">
        <f>IF(AND(Assumptions!$D$11="Yes",OR(Assumptions!$D$12=Lists!$AB$2,Assumptions!$D$12=Lists!$AB$3)), C60, 0)*Assumptions!$G$65</f>
        <v>0</v>
      </c>
      <c r="E60" s="56">
        <f>D60/Assumptions!$D$66</f>
        <v>0</v>
      </c>
      <c r="F60" t="s">
        <v>366</v>
      </c>
    </row>
    <row r="61" spans="1:9" x14ac:dyDescent="0.3">
      <c r="A61" s="68"/>
    </row>
    <row r="62" spans="1:9" x14ac:dyDescent="0.3">
      <c r="A62" s="68" t="s">
        <v>334</v>
      </c>
      <c r="B62" t="s">
        <v>571</v>
      </c>
      <c r="C62" s="56">
        <f>'Unit Costs'!$G$29</f>
        <v>516251</v>
      </c>
      <c r="D62" s="56">
        <f>IF(AND(Assumptions!$D$11="Yes",OR(Assumptions!$D$12=Lists!$AB$2,Assumptions!$D$12=Lists!$AB$3)), C62, 0)</f>
        <v>516251</v>
      </c>
      <c r="E62" s="56">
        <f t="shared" ref="E62:E67" si="1">D62</f>
        <v>516251</v>
      </c>
      <c r="F62" t="s">
        <v>366</v>
      </c>
    </row>
    <row r="63" spans="1:9" x14ac:dyDescent="0.3">
      <c r="A63" s="68"/>
      <c r="B63" t="s">
        <v>336</v>
      </c>
      <c r="C63" s="56">
        <f>'Unit Costs'!$G$30*$B$7/$B$6</f>
        <v>35400.057142857142</v>
      </c>
      <c r="D63" s="56">
        <f>IF(AND(Assumptions!$D$11="Yes",OR(Assumptions!$D$12=Lists!$AB$2,Assumptions!$D$12=Lists!$AB$3)), C63, 0)</f>
        <v>35400.057142857142</v>
      </c>
      <c r="E63" s="56">
        <f t="shared" si="1"/>
        <v>35400.057142857142</v>
      </c>
      <c r="F63" t="s">
        <v>366</v>
      </c>
    </row>
    <row r="64" spans="1:9" x14ac:dyDescent="0.3">
      <c r="A64" s="68"/>
      <c r="B64" t="s">
        <v>337</v>
      </c>
      <c r="C64" s="56">
        <f>'Unit Costs'!$G$40</f>
        <v>4337</v>
      </c>
      <c r="D64" s="56">
        <f>IF(AND(Assumptions!$D$11="Yes",OR(Assumptions!$D$12=Lists!$AB$2,Assumptions!$D$12=Lists!$AB$3)), C64, 0)</f>
        <v>4337</v>
      </c>
      <c r="E64" s="56">
        <f t="shared" si="1"/>
        <v>4337</v>
      </c>
      <c r="F64" t="s">
        <v>366</v>
      </c>
    </row>
    <row r="65" spans="1:8" x14ac:dyDescent="0.3">
      <c r="A65" s="68"/>
      <c r="B65" t="s">
        <v>338</v>
      </c>
      <c r="C65" s="56">
        <f>4*(Assumptions!$D$70*'Unit Costs'!$G$26)</f>
        <v>5160</v>
      </c>
      <c r="D65" s="56">
        <f>IF(AND(Assumptions!$D$11="Yes",OR(Assumptions!$D$12=Lists!$AB$2,Assumptions!$D$12=Lists!$AB$3)), C65, 0)</f>
        <v>5160</v>
      </c>
      <c r="E65" s="56">
        <f t="shared" si="1"/>
        <v>5160</v>
      </c>
      <c r="F65" t="s">
        <v>366</v>
      </c>
    </row>
    <row r="66" spans="1:8" x14ac:dyDescent="0.3">
      <c r="A66" s="68"/>
      <c r="B66" t="s">
        <v>339</v>
      </c>
      <c r="C66" s="56">
        <f>4*((Assumptions!$D$70-1)*'Unit Costs'!$G$27)</f>
        <v>5760</v>
      </c>
      <c r="D66" s="56">
        <f>IF(AND(Assumptions!$D$11="Yes",OR(Assumptions!$D$12=Lists!$AB$2,Assumptions!$D$12=Lists!$AB$3)), C66, 0)</f>
        <v>5760</v>
      </c>
      <c r="E66" s="56">
        <f t="shared" si="1"/>
        <v>5760</v>
      </c>
      <c r="F66" t="s">
        <v>366</v>
      </c>
    </row>
    <row r="67" spans="1:8" x14ac:dyDescent="0.3">
      <c r="A67" s="68"/>
      <c r="B67" s="149" t="s">
        <v>556</v>
      </c>
      <c r="C67" s="56">
        <f>4*'Unit Costs'!$G$32*ROUNDUP($B$6/Assumptions!$D$64,0)*Assumptions!$D$70/($B$6)</f>
        <v>2949.9428571428571</v>
      </c>
      <c r="D67" s="56">
        <f>IF(AND(Assumptions!$D$11="Yes",OR(Assumptions!$D$12=Lists!$AB$2,Assumptions!$D$12=Lists!$AB$3)), C67, 0)*Assumptions!$G$65</f>
        <v>0</v>
      </c>
      <c r="E67" s="56">
        <f t="shared" si="1"/>
        <v>0</v>
      </c>
      <c r="F67" t="s">
        <v>366</v>
      </c>
    </row>
    <row r="68" spans="1:8" x14ac:dyDescent="0.3">
      <c r="A68" s="68"/>
    </row>
    <row r="69" spans="1:8" x14ac:dyDescent="0.3">
      <c r="A69" s="68" t="s">
        <v>341</v>
      </c>
      <c r="B69" s="63" t="s">
        <v>342</v>
      </c>
      <c r="C69" s="64">
        <f>'Unit Costs'!$G$41</f>
        <v>69694</v>
      </c>
      <c r="D69" s="64">
        <f>IF(AND(Assumptions!$D$11="Yes",Assumptions!$D$12=Lists!$AB$2), C69, 0)</f>
        <v>69694</v>
      </c>
      <c r="E69" s="64">
        <f>D69</f>
        <v>69694</v>
      </c>
      <c r="F69" t="s">
        <v>366</v>
      </c>
      <c r="G69" t="s">
        <v>343</v>
      </c>
    </row>
    <row r="70" spans="1:8" x14ac:dyDescent="0.3">
      <c r="A70" s="68"/>
      <c r="B70" s="63" t="s">
        <v>557</v>
      </c>
      <c r="C70" s="64">
        <f>'Unit Costs'!$G$42</f>
        <v>30975</v>
      </c>
      <c r="D70" s="64">
        <f>IF(AND(Assumptions!$D$11="Yes",Assumptions!$D$12=Lists!$AB$2), C70, 0)</f>
        <v>30975</v>
      </c>
      <c r="E70" s="64">
        <f>D70</f>
        <v>30975</v>
      </c>
      <c r="F70" t="s">
        <v>366</v>
      </c>
    </row>
    <row r="71" spans="1:8" x14ac:dyDescent="0.3">
      <c r="A71" s="68"/>
      <c r="C71" s="56"/>
      <c r="D71" s="56"/>
      <c r="E71" s="56"/>
    </row>
    <row r="72" spans="1:8" x14ac:dyDescent="0.3">
      <c r="A72" s="68" t="s">
        <v>345</v>
      </c>
      <c r="B72" t="s">
        <v>346</v>
      </c>
      <c r="C72" s="56">
        <f>'Unit Costs'!$G$43</f>
        <v>10067</v>
      </c>
      <c r="D72" s="56">
        <f>IF(AND(Assumptions!$D$11="Yes",Assumptions!$D$12=Lists!$AB$3),C72,0)</f>
        <v>0</v>
      </c>
      <c r="E72" s="56">
        <f>D72</f>
        <v>0</v>
      </c>
      <c r="F72" t="s">
        <v>366</v>
      </c>
    </row>
    <row r="73" spans="1:8" x14ac:dyDescent="0.3">
      <c r="A73" s="68"/>
      <c r="C73" s="56"/>
      <c r="D73" s="56"/>
      <c r="E73" s="56"/>
    </row>
    <row r="74" spans="1:8" x14ac:dyDescent="0.3">
      <c r="A74" s="68"/>
    </row>
    <row r="75" spans="1:8" ht="15.6" x14ac:dyDescent="0.3">
      <c r="A75" s="13" t="s">
        <v>347</v>
      </c>
      <c r="B75" s="13"/>
      <c r="C75" s="13"/>
      <c r="D75" s="13"/>
      <c r="E75" s="13"/>
      <c r="F75" s="13"/>
      <c r="H75" s="60"/>
    </row>
    <row r="76" spans="1:8" x14ac:dyDescent="0.3">
      <c r="A76" s="68" t="s">
        <v>326</v>
      </c>
      <c r="B76" t="s">
        <v>348</v>
      </c>
      <c r="C76" s="56">
        <f>'Unit Costs'!$G$21*'Unit Costs'!$E$21</f>
        <v>61950.119999999995</v>
      </c>
      <c r="D76" s="56">
        <f>IF(AND(Assumptions!$D$11="Yes",Assumptions!$D$12=Lists!$AB$4), C76, 0)</f>
        <v>0</v>
      </c>
      <c r="E76" s="56">
        <f>D76/Assumptions!$D$75</f>
        <v>0</v>
      </c>
      <c r="F76" t="s">
        <v>572</v>
      </c>
      <c r="H76" s="59"/>
    </row>
    <row r="77" spans="1:8" x14ac:dyDescent="0.3">
      <c r="A77" s="68"/>
      <c r="B77" t="s">
        <v>350</v>
      </c>
      <c r="C77" s="56">
        <f>'Unit Costs'!$G$44</f>
        <v>7744</v>
      </c>
      <c r="D77" s="56">
        <f>IF(AND(Assumptions!$D$11="Yes",Assumptions!$D$12=Lists!$AB$4), C77, 0)</f>
        <v>0</v>
      </c>
      <c r="E77" s="56">
        <f>D77/Assumptions!$D$76</f>
        <v>0</v>
      </c>
      <c r="F77" t="s">
        <v>572</v>
      </c>
    </row>
    <row r="78" spans="1:8" x14ac:dyDescent="0.3">
      <c r="A78" s="68"/>
      <c r="B78" t="s">
        <v>330</v>
      </c>
      <c r="C78" s="56">
        <f>'Unit Costs'!$G$24</f>
        <v>38719</v>
      </c>
      <c r="D78" s="56">
        <f>IF(AND(Assumptions!$D$11="Yes",Assumptions!$D$12=Lists!$AB$4), C78, 0)</f>
        <v>0</v>
      </c>
      <c r="E78" s="56">
        <f>D78/Assumptions!$D$75</f>
        <v>0</v>
      </c>
      <c r="F78" t="s">
        <v>572</v>
      </c>
    </row>
    <row r="79" spans="1:8" x14ac:dyDescent="0.3">
      <c r="A79" s="68"/>
      <c r="B79" t="s">
        <v>351</v>
      </c>
      <c r="C79" s="56">
        <f>Assumptions!$D$69*'Unit Costs'!$G$26</f>
        <v>3225</v>
      </c>
      <c r="D79" s="56">
        <f>IF(AND(Assumptions!$D$11="Yes",Assumptions!$D$12=Lists!$AB$4), C79, 0)</f>
        <v>0</v>
      </c>
      <c r="E79" s="56">
        <f>D79/Assumptions!$D$75</f>
        <v>0</v>
      </c>
      <c r="F79" t="s">
        <v>572</v>
      </c>
    </row>
    <row r="80" spans="1:8" x14ac:dyDescent="0.3">
      <c r="A80" s="68"/>
      <c r="B80" t="s">
        <v>352</v>
      </c>
      <c r="C80" s="56">
        <f>(Assumptions!$D$69-1)*'Unit Costs'!$G$27</f>
        <v>5760</v>
      </c>
      <c r="D80" s="56">
        <f>IF(AND(Assumptions!$D$11="Yes",Assumptions!$D$12=Lists!$AB$4), C80, 0)</f>
        <v>0</v>
      </c>
      <c r="E80" s="56">
        <f>D80/Assumptions!$D$75</f>
        <v>0</v>
      </c>
      <c r="F80" t="s">
        <v>572</v>
      </c>
    </row>
    <row r="81" spans="1:6" x14ac:dyDescent="0.3">
      <c r="A81" s="68"/>
      <c r="B81" s="149" t="s">
        <v>353</v>
      </c>
      <c r="C81" s="56">
        <f>'Unit Costs'!$G$32*ROUNDUP($B$9/Assumptions!$D$74,0)*Assumptions!$D$80*Assumptions!$D$81/($B$9)</f>
        <v>0</v>
      </c>
      <c r="D81" s="56">
        <f>IF(AND(Assumptions!$D$11="Yes",Assumptions!$D$12=Lists!$AB$4), C81, 0)*Assumptions!$G$79</f>
        <v>0</v>
      </c>
      <c r="E81" s="56">
        <f>D81/Assumptions!$D$75</f>
        <v>0</v>
      </c>
      <c r="F81" t="s">
        <v>572</v>
      </c>
    </row>
    <row r="82" spans="1:6" x14ac:dyDescent="0.3">
      <c r="A82" s="68"/>
    </row>
    <row r="83" spans="1:6" x14ac:dyDescent="0.3">
      <c r="A83" s="68" t="s">
        <v>354</v>
      </c>
      <c r="B83" t="s">
        <v>355</v>
      </c>
      <c r="C83" s="56">
        <f>'Unit Costs'!$G$29</f>
        <v>516251</v>
      </c>
      <c r="D83" s="56">
        <f>IF(AND(Assumptions!$D$11="Yes",Assumptions!$D$12=Lists!$AB$4), C83, 0)</f>
        <v>0</v>
      </c>
      <c r="E83" s="56">
        <f t="shared" ref="E83:E88" si="2">D83</f>
        <v>0</v>
      </c>
      <c r="F83" t="s">
        <v>572</v>
      </c>
    </row>
    <row r="84" spans="1:6" x14ac:dyDescent="0.3">
      <c r="A84" s="68"/>
      <c r="B84" t="s">
        <v>356</v>
      </c>
      <c r="C84" s="56">
        <f>'Unit Costs'!$G$30*$B$11/$B$10</f>
        <v>31860.051428571427</v>
      </c>
      <c r="D84" s="56">
        <f>IF(AND(Assumptions!$D$11="Yes",Assumptions!$D$12=Lists!$AB$4), C84, 0)</f>
        <v>0</v>
      </c>
      <c r="E84" s="56">
        <f t="shared" si="2"/>
        <v>0</v>
      </c>
      <c r="F84" t="s">
        <v>572</v>
      </c>
    </row>
    <row r="85" spans="1:6" x14ac:dyDescent="0.3">
      <c r="A85" s="68"/>
      <c r="B85" t="s">
        <v>337</v>
      </c>
      <c r="C85" s="56">
        <f>'Unit Costs'!$G$40</f>
        <v>4337</v>
      </c>
      <c r="D85" s="56">
        <f>IF(AND(Assumptions!$D$11="Yes",Assumptions!$D$12=Lists!$AB$4), C85, 0)</f>
        <v>0</v>
      </c>
      <c r="E85" s="56">
        <f t="shared" si="2"/>
        <v>0</v>
      </c>
      <c r="F85" t="s">
        <v>572</v>
      </c>
    </row>
    <row r="86" spans="1:6" x14ac:dyDescent="0.3">
      <c r="A86" s="68"/>
      <c r="B86" t="s">
        <v>357</v>
      </c>
      <c r="C86" s="56">
        <f>4*(Assumptions!$D$70*'Unit Costs'!$G$26)</f>
        <v>5160</v>
      </c>
      <c r="D86" s="56">
        <f>IF(AND(Assumptions!$D$11="Yes",Assumptions!$D$12=Lists!$AB$4), C86, 0)</f>
        <v>0</v>
      </c>
      <c r="E86" s="56">
        <f t="shared" si="2"/>
        <v>0</v>
      </c>
      <c r="F86" t="s">
        <v>572</v>
      </c>
    </row>
    <row r="87" spans="1:6" x14ac:dyDescent="0.3">
      <c r="A87" s="68"/>
      <c r="B87" t="s">
        <v>358</v>
      </c>
      <c r="C87" s="56">
        <f>4*((Assumptions!$D$70-1)*'Unit Costs'!$G$27)</f>
        <v>5760</v>
      </c>
      <c r="D87" s="56">
        <f>IF(AND(Assumptions!$D$11="Yes",Assumptions!$D$12=Lists!$AB$4), C87, 0)</f>
        <v>0</v>
      </c>
      <c r="E87" s="56">
        <f t="shared" si="2"/>
        <v>0</v>
      </c>
      <c r="F87" t="s">
        <v>572</v>
      </c>
    </row>
    <row r="88" spans="1:6" x14ac:dyDescent="0.3">
      <c r="A88" s="68"/>
      <c r="B88" s="149" t="s">
        <v>359</v>
      </c>
      <c r="C88" s="56">
        <f>'Unit Costs'!$G$32*ROUNDUP($B$9/Assumptions!$D$74,0)*Assumptions!$D$82*Assumptions!$D$83/($B$9)</f>
        <v>0</v>
      </c>
      <c r="D88" s="56">
        <f>IF(AND(Assumptions!$D$11="Yes",Assumptions!$D$12=Lists!$AB$4), C88, 0)*Assumptions!$G$79</f>
        <v>0</v>
      </c>
      <c r="E88" s="56">
        <f t="shared" si="2"/>
        <v>0</v>
      </c>
      <c r="F88" t="s">
        <v>572</v>
      </c>
    </row>
    <row r="89" spans="1:6" x14ac:dyDescent="0.3">
      <c r="A89" s="68"/>
    </row>
    <row r="90" spans="1:6" x14ac:dyDescent="0.3">
      <c r="A90" s="68" t="s">
        <v>360</v>
      </c>
      <c r="B90" s="63" t="s">
        <v>361</v>
      </c>
      <c r="C90" s="64">
        <f>'Unit Costs'!$G$41</f>
        <v>69694</v>
      </c>
      <c r="D90" s="56">
        <f>IF(AND(Assumptions!$D$11="Yes",Assumptions!$D$12=Lists!$AB$4), C90, 0)</f>
        <v>0</v>
      </c>
      <c r="E90" s="64">
        <f>D90</f>
        <v>0</v>
      </c>
      <c r="F90" t="s">
        <v>572</v>
      </c>
    </row>
    <row r="91" spans="1:6" x14ac:dyDescent="0.3">
      <c r="A91" s="68"/>
      <c r="B91" s="63" t="s">
        <v>557</v>
      </c>
      <c r="C91" s="64">
        <f>'Unit Costs'!$G$42</f>
        <v>30975</v>
      </c>
      <c r="D91" s="56">
        <f>IF(AND(Assumptions!$D$11="Yes",Assumptions!$D$12=Lists!$AB$4), C91, 0)</f>
        <v>0</v>
      </c>
      <c r="E91" s="64">
        <f>D91</f>
        <v>0</v>
      </c>
      <c r="F91" t="s">
        <v>572</v>
      </c>
    </row>
    <row r="92" spans="1:6" x14ac:dyDescent="0.3">
      <c r="A92" s="68"/>
      <c r="D92" s="56"/>
    </row>
    <row r="93" spans="1:6" x14ac:dyDescent="0.3">
      <c r="A93" s="68"/>
      <c r="D93" s="56"/>
    </row>
    <row r="94" spans="1:6" x14ac:dyDescent="0.3">
      <c r="A94" s="68" t="s">
        <v>362</v>
      </c>
      <c r="B94" t="s">
        <v>363</v>
      </c>
      <c r="C94" s="56">
        <f>(('Unit Costs'!$G$35+(Assumptions!$D$80-2)*'Unit Costs'!$G$36)*Assumptions!$D$81)*$B$9/$B$10</f>
        <v>0</v>
      </c>
      <c r="D94" s="56">
        <f>IF(AND(Assumptions!$D$11="Yes",Assumptions!$D$12=Lists!$AB$4),C94,0)</f>
        <v>0</v>
      </c>
      <c r="E94" s="56">
        <f>D94</f>
        <v>0</v>
      </c>
      <c r="F94" t="s">
        <v>572</v>
      </c>
    </row>
    <row r="95" spans="1:6" x14ac:dyDescent="0.3">
      <c r="A95" s="68"/>
      <c r="B95" t="s">
        <v>364</v>
      </c>
      <c r="C95" s="56">
        <f>(('Unit Costs'!$G$35+(Assumptions!$D$82-2)*'Unit Costs'!$G$36)*Assumptions!$D$83)*$B$9/$B$10</f>
        <v>0</v>
      </c>
      <c r="D95" s="56">
        <f>IF(AND(Assumptions!$D$11="Yes",Assumptions!$D$12=Lists!$AB$4),C95,0)</f>
        <v>0</v>
      </c>
      <c r="E95" s="56">
        <f>D95</f>
        <v>0</v>
      </c>
      <c r="F95" t="s">
        <v>572</v>
      </c>
    </row>
    <row r="96" spans="1:6" x14ac:dyDescent="0.3">
      <c r="A96" s="68"/>
      <c r="C96" s="56"/>
      <c r="D96" s="56"/>
      <c r="E96" s="56"/>
    </row>
    <row r="98" spans="1:9" ht="18" x14ac:dyDescent="0.35">
      <c r="A98" s="58" t="s">
        <v>365</v>
      </c>
      <c r="B98" s="58"/>
      <c r="C98" s="58"/>
      <c r="D98" s="58"/>
      <c r="E98" s="58"/>
      <c r="F98" s="58"/>
      <c r="G98" s="58"/>
      <c r="H98" s="58"/>
      <c r="I98" s="58"/>
    </row>
    <row r="99" spans="1:9" x14ac:dyDescent="0.3">
      <c r="A99" s="13" t="s">
        <v>14</v>
      </c>
      <c r="E99" s="56">
        <f>SUM(E15:$E$31)</f>
        <v>74599.333333333328</v>
      </c>
      <c r="F99" t="s">
        <v>299</v>
      </c>
    </row>
    <row r="100" spans="1:9" x14ac:dyDescent="0.3">
      <c r="E100" s="56">
        <f>E99/$B$6</f>
        <v>4262.8190476190475</v>
      </c>
      <c r="F100" t="s">
        <v>366</v>
      </c>
    </row>
    <row r="101" spans="1:9" x14ac:dyDescent="0.3">
      <c r="E101" s="74">
        <f>E99/$B$3</f>
        <v>71.046984126984128</v>
      </c>
      <c r="F101" s="75" t="s">
        <v>311</v>
      </c>
    </row>
    <row r="103" spans="1:9" x14ac:dyDescent="0.3">
      <c r="A103" s="13" t="s">
        <v>15</v>
      </c>
      <c r="E103" s="74">
        <f>SUM($E$34:$E$43)</f>
        <v>1060</v>
      </c>
      <c r="F103" s="75" t="s">
        <v>311</v>
      </c>
    </row>
    <row r="104" spans="1:9" x14ac:dyDescent="0.3">
      <c r="E104" s="56"/>
    </row>
    <row r="105" spans="1:9" x14ac:dyDescent="0.3">
      <c r="A105" s="13" t="s">
        <v>16</v>
      </c>
      <c r="E105" s="74">
        <f>SUM($E$46:$E$51)</f>
        <v>3601.8</v>
      </c>
      <c r="F105" s="75" t="s">
        <v>311</v>
      </c>
    </row>
    <row r="107" spans="1:9" x14ac:dyDescent="0.3">
      <c r="A107" s="13" t="s">
        <v>17</v>
      </c>
      <c r="E107" s="56">
        <f>SUM($E$55:$E$72)</f>
        <v>691056.68114285707</v>
      </c>
      <c r="F107" t="s">
        <v>366</v>
      </c>
    </row>
    <row r="108" spans="1:9" x14ac:dyDescent="0.3">
      <c r="E108" s="74">
        <f>E107*$B$6/$B$3</f>
        <v>11517.611352380951</v>
      </c>
      <c r="F108" s="75" t="s">
        <v>311</v>
      </c>
    </row>
    <row r="109" spans="1:9" x14ac:dyDescent="0.3">
      <c r="E109" s="56"/>
    </row>
    <row r="110" spans="1:9" x14ac:dyDescent="0.3">
      <c r="A110" s="13" t="s">
        <v>18</v>
      </c>
      <c r="E110" s="56">
        <f>SUM($E$76:$E$96)</f>
        <v>0</v>
      </c>
      <c r="F110" t="s">
        <v>367</v>
      </c>
    </row>
    <row r="111" spans="1:9" x14ac:dyDescent="0.3">
      <c r="E111" s="74">
        <f>E110*$B$10/$B$3</f>
        <v>0</v>
      </c>
      <c r="F111" s="75" t="s">
        <v>311</v>
      </c>
    </row>
    <row r="112" spans="1:9" x14ac:dyDescent="0.3">
      <c r="E112" s="56"/>
    </row>
    <row r="113" spans="1:8" x14ac:dyDescent="0.3">
      <c r="A113" s="13" t="s">
        <v>19</v>
      </c>
      <c r="E113" s="74">
        <f>SUM(E101,E103,E105,E108)*Assumptions!$D$22</f>
        <v>812.52291682539681</v>
      </c>
      <c r="F113" s="75" t="s">
        <v>311</v>
      </c>
    </row>
    <row r="115" spans="1:8" x14ac:dyDescent="0.3">
      <c r="A115" s="70" t="s">
        <v>368</v>
      </c>
      <c r="B115" s="55"/>
      <c r="C115" s="55"/>
      <c r="D115" s="55"/>
      <c r="E115" s="71">
        <f>SUM($E$101,$E$103,$E$105,$E$108,$E$111,$E$113)</f>
        <v>17062.981253333332</v>
      </c>
      <c r="F115" s="70" t="s">
        <v>311</v>
      </c>
      <c r="G115" s="56"/>
    </row>
    <row r="116" spans="1:8" x14ac:dyDescent="0.3">
      <c r="A116" s="69"/>
      <c r="B116" s="69"/>
      <c r="C116" s="69"/>
      <c r="D116" s="69"/>
      <c r="E116" s="72">
        <f>E115/Assumptions!$D$20</f>
        <v>487.51375009523804</v>
      </c>
      <c r="F116" s="73" t="s">
        <v>369</v>
      </c>
      <c r="G116" s="56"/>
    </row>
    <row r="117" spans="1:8" x14ac:dyDescent="0.3">
      <c r="A117" s="70" t="s">
        <v>370</v>
      </c>
      <c r="B117" s="55"/>
      <c r="C117" s="55"/>
      <c r="D117" s="55"/>
      <c r="E117" s="80">
        <f>E115/Assumptions!$D$23</f>
        <v>922.32331099099088</v>
      </c>
      <c r="F117" s="70" t="s">
        <v>311</v>
      </c>
      <c r="G117" s="56"/>
      <c r="H117" s="79"/>
    </row>
    <row r="118" spans="1:8" x14ac:dyDescent="0.3">
      <c r="A118" s="69"/>
      <c r="B118" s="69"/>
      <c r="C118" s="69"/>
      <c r="D118" s="69"/>
      <c r="E118" s="81">
        <f>E117/Assumptions!$D$20</f>
        <v>26.352094599742596</v>
      </c>
      <c r="F118" s="73" t="s">
        <v>369</v>
      </c>
      <c r="G118" s="56"/>
    </row>
  </sheetData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28D30-52DD-4342-8472-A53B0E6C9223}">
  <sheetPr>
    <tabColor rgb="FF00B050"/>
  </sheetPr>
  <dimension ref="A1:I118"/>
  <sheetViews>
    <sheetView topLeftCell="A29" zoomScale="88" workbookViewId="0">
      <selection activeCell="B35" sqref="B35"/>
    </sheetView>
  </sheetViews>
  <sheetFormatPr defaultRowHeight="14.4" x14ac:dyDescent="0.3"/>
  <cols>
    <col min="1" max="1" width="47" customWidth="1"/>
    <col min="2" max="2" width="56.44140625" customWidth="1"/>
    <col min="3" max="3" width="22.33203125" customWidth="1"/>
    <col min="4" max="4" width="28.6640625" customWidth="1"/>
    <col min="5" max="5" width="27.6640625" customWidth="1"/>
    <col min="6" max="6" width="38.6640625" customWidth="1"/>
    <col min="7" max="7" width="9.33203125" bestFit="1" customWidth="1"/>
    <col min="8" max="8" width="34" customWidth="1"/>
    <col min="10" max="10" width="28.88671875" customWidth="1"/>
  </cols>
  <sheetData>
    <row r="1" spans="1:9" ht="18" x14ac:dyDescent="0.35">
      <c r="A1" s="58" t="s">
        <v>282</v>
      </c>
      <c r="B1" s="58"/>
      <c r="C1" s="58"/>
      <c r="D1" s="58"/>
      <c r="E1" s="58"/>
      <c r="F1" s="58"/>
      <c r="G1" s="58"/>
      <c r="H1" s="58"/>
      <c r="I1" s="58"/>
    </row>
    <row r="2" spans="1:9" ht="13.5" customHeight="1" x14ac:dyDescent="0.3">
      <c r="A2" t="s">
        <v>283</v>
      </c>
      <c r="B2" s="59">
        <f>Assumptions!$E$14</f>
        <v>175</v>
      </c>
      <c r="C2" s="13"/>
      <c r="D2" s="13"/>
    </row>
    <row r="3" spans="1:9" ht="13.5" customHeight="1" x14ac:dyDescent="0.3">
      <c r="A3" t="s">
        <v>284</v>
      </c>
      <c r="B3" s="59">
        <f>Assumptions!$E$14*Assumptions!$E$16</f>
        <v>1050</v>
      </c>
      <c r="C3" s="13"/>
      <c r="D3" s="13"/>
    </row>
    <row r="4" spans="1:9" ht="13.5" customHeight="1" x14ac:dyDescent="0.3">
      <c r="A4" t="s">
        <v>285</v>
      </c>
      <c r="B4" s="59">
        <f>$B$3*Assumptions!$E$20</f>
        <v>36750</v>
      </c>
      <c r="C4" s="13"/>
      <c r="D4" s="13"/>
      <c r="E4" s="59"/>
    </row>
    <row r="5" spans="1:9" ht="6.75" customHeight="1" x14ac:dyDescent="0.3">
      <c r="B5" s="59"/>
      <c r="C5" s="13"/>
      <c r="D5" s="13"/>
      <c r="E5" s="59"/>
    </row>
    <row r="6" spans="1:9" ht="13.5" customHeight="1" x14ac:dyDescent="0.3">
      <c r="A6" t="s">
        <v>286</v>
      </c>
      <c r="B6" s="59">
        <f>B3/Assumptions!$E$17</f>
        <v>10.5</v>
      </c>
      <c r="C6" s="13"/>
      <c r="D6" s="13"/>
      <c r="E6" s="59"/>
    </row>
    <row r="7" spans="1:9" ht="13.5" customHeight="1" x14ac:dyDescent="0.3">
      <c r="A7" t="s">
        <v>287</v>
      </c>
      <c r="B7" s="59">
        <f>ROUNDUP(B6/Assumptions!$E$64,0)</f>
        <v>1</v>
      </c>
      <c r="C7" s="13"/>
      <c r="D7" s="13"/>
    </row>
    <row r="8" spans="1:9" ht="6.75" customHeight="1" x14ac:dyDescent="0.3">
      <c r="B8" s="59"/>
      <c r="C8" s="13"/>
      <c r="D8" s="13"/>
    </row>
    <row r="9" spans="1:9" ht="13.5" customHeight="1" x14ac:dyDescent="0.3">
      <c r="A9" t="s">
        <v>288</v>
      </c>
      <c r="B9" s="59">
        <f>$B$2</f>
        <v>175</v>
      </c>
      <c r="C9" s="13"/>
      <c r="D9" s="13"/>
    </row>
    <row r="10" spans="1:9" ht="13.5" customHeight="1" x14ac:dyDescent="0.3">
      <c r="A10" t="s">
        <v>289</v>
      </c>
      <c r="B10" s="59">
        <f>ROUND($B$9/Assumptions!$E$18,0)</f>
        <v>175</v>
      </c>
    </row>
    <row r="11" spans="1:9" ht="13.5" customHeight="1" x14ac:dyDescent="0.3">
      <c r="A11" t="s">
        <v>290</v>
      </c>
      <c r="B11" s="59">
        <f>ROUNDUP($B$10/Assumptions!$E$74,0)</f>
        <v>9</v>
      </c>
    </row>
    <row r="12" spans="1:9" ht="6.75" customHeight="1" x14ac:dyDescent="0.3">
      <c r="B12" s="59"/>
    </row>
    <row r="13" spans="1:9" ht="18" x14ac:dyDescent="0.35">
      <c r="A13" s="58" t="s">
        <v>291</v>
      </c>
      <c r="B13" s="58"/>
      <c r="C13" s="58"/>
      <c r="D13" s="58"/>
      <c r="E13" s="58"/>
      <c r="F13" s="58"/>
      <c r="G13" s="58"/>
      <c r="H13" s="58"/>
      <c r="I13" s="58"/>
    </row>
    <row r="14" spans="1:9" s="13" customFormat="1" x14ac:dyDescent="0.3">
      <c r="A14" s="13" t="s">
        <v>292</v>
      </c>
      <c r="B14" s="13" t="s">
        <v>293</v>
      </c>
      <c r="C14" s="13" t="s">
        <v>294</v>
      </c>
      <c r="D14" s="13" t="s">
        <v>295</v>
      </c>
      <c r="E14" s="13" t="s">
        <v>296</v>
      </c>
      <c r="F14" s="13" t="s">
        <v>297</v>
      </c>
    </row>
    <row r="15" spans="1:9" x14ac:dyDescent="0.3">
      <c r="B15" t="s">
        <v>298</v>
      </c>
      <c r="C15" s="56">
        <f>'Unit Costs'!$G$3*Assumptions!$E$27</f>
        <v>77440</v>
      </c>
      <c r="D15" s="56">
        <f>C15</f>
        <v>77440</v>
      </c>
      <c r="E15" s="56">
        <f>D15/Assumptions!$E$31</f>
        <v>6453.333333333333</v>
      </c>
      <c r="F15" t="s">
        <v>299</v>
      </c>
      <c r="H15" s="57"/>
    </row>
    <row r="16" spans="1:9" x14ac:dyDescent="0.3">
      <c r="B16" t="s">
        <v>300</v>
      </c>
      <c r="C16" s="56">
        <f>('Unit Costs'!$G$4+'Unit Costs'!$G$5)*Assumptions!$E$29*Assumptions!$E$28</f>
        <v>135510</v>
      </c>
      <c r="D16" s="56">
        <f>C16</f>
        <v>135510</v>
      </c>
      <c r="E16" s="56">
        <f>D16/Assumptions!$E$31</f>
        <v>11292.5</v>
      </c>
      <c r="F16" t="s">
        <v>299</v>
      </c>
    </row>
    <row r="17" spans="1:8" ht="15" customHeight="1" x14ac:dyDescent="0.3">
      <c r="B17" t="s">
        <v>569</v>
      </c>
      <c r="C17" s="56">
        <f>(('Unit Costs'!$G$6*Assumptions!$E$28)+('Unit Costs'!$G$7))*Assumptions!$E$30</f>
        <v>54408</v>
      </c>
      <c r="D17" s="56">
        <f>C17</f>
        <v>54408</v>
      </c>
      <c r="E17" s="56">
        <f>D17/Assumptions!$E$31</f>
        <v>4534</v>
      </c>
      <c r="F17" t="s">
        <v>299</v>
      </c>
    </row>
    <row r="18" spans="1:8" x14ac:dyDescent="0.3">
      <c r="B18" t="s">
        <v>302</v>
      </c>
      <c r="C18" s="56">
        <f>'Unit Costs'!$G$3*Assumptions!$E$38</f>
        <v>19360</v>
      </c>
      <c r="D18" s="56">
        <f>IF(Assumptions!$E$10="Home Language",0,$C18)</f>
        <v>0</v>
      </c>
      <c r="E18" s="56">
        <f>D18/Assumptions!$E$42</f>
        <v>0</v>
      </c>
      <c r="F18" t="s">
        <v>299</v>
      </c>
    </row>
    <row r="19" spans="1:8" x14ac:dyDescent="0.3">
      <c r="B19" t="s">
        <v>303</v>
      </c>
      <c r="C19" s="56">
        <f>('Unit Costs'!$G$4+'Unit Costs'!$G$5)*Assumptions!$E$39*Assumptions!$E$40</f>
        <v>67755</v>
      </c>
      <c r="D19" s="56">
        <f>IF(Assumptions!$E$10="Home Language",0,$C19)</f>
        <v>0</v>
      </c>
      <c r="E19" s="56">
        <f>D19/Assumptions!$E$42</f>
        <v>0</v>
      </c>
      <c r="F19" t="s">
        <v>299</v>
      </c>
    </row>
    <row r="20" spans="1:8" x14ac:dyDescent="0.3">
      <c r="B20" t="s">
        <v>558</v>
      </c>
      <c r="C20" s="56">
        <f>(('Unit Costs'!$G$6*Assumptions!$E$39)+('Unit Costs'!$G$7))*Assumptions!$E$41</f>
        <v>45272</v>
      </c>
      <c r="D20" s="56">
        <f>IF(Assumptions!$E$10="Home Language",0,$C20)</f>
        <v>0</v>
      </c>
      <c r="E20" s="56">
        <f>D20/Assumptions!$E$42</f>
        <v>0</v>
      </c>
      <c r="F20" t="s">
        <v>299</v>
      </c>
    </row>
    <row r="21" spans="1:8" x14ac:dyDescent="0.3">
      <c r="C21" s="56"/>
      <c r="D21" s="56"/>
      <c r="E21" s="56"/>
    </row>
    <row r="22" spans="1:8" x14ac:dyDescent="0.3">
      <c r="A22" s="13" t="s">
        <v>304</v>
      </c>
      <c r="C22" s="56"/>
      <c r="D22" s="56"/>
      <c r="E22" s="56"/>
      <c r="H22" s="57"/>
    </row>
    <row r="23" spans="1:8" x14ac:dyDescent="0.3">
      <c r="A23" s="13"/>
      <c r="B23" t="s">
        <v>305</v>
      </c>
      <c r="C23" s="56">
        <f>'Unit Costs'!$G$3*Assumptions!$E$32</f>
        <v>19360</v>
      </c>
      <c r="D23" s="56">
        <f>C23</f>
        <v>19360</v>
      </c>
      <c r="E23" s="56">
        <f>D23*Assumptions!$E$36/Assumptions!$E$31</f>
        <v>4840</v>
      </c>
      <c r="F23" t="s">
        <v>299</v>
      </c>
      <c r="H23" s="57"/>
    </row>
    <row r="24" spans="1:8" x14ac:dyDescent="0.3">
      <c r="B24" t="s">
        <v>300</v>
      </c>
      <c r="C24" s="56">
        <f>('Unit Costs'!$G$4+'Unit Costs'!$G$5)*Assumptions!$E$34*Assumptions!$E$33</f>
        <v>135510</v>
      </c>
      <c r="D24" s="56">
        <f>C24</f>
        <v>135510</v>
      </c>
      <c r="E24" s="56">
        <f>D24*Assumptions!$E$36/Assumptions!$E$31</f>
        <v>33877.5</v>
      </c>
      <c r="F24" t="s">
        <v>299</v>
      </c>
    </row>
    <row r="25" spans="1:8" ht="15" customHeight="1" x14ac:dyDescent="0.3">
      <c r="B25" t="s">
        <v>569</v>
      </c>
      <c r="C25" s="56">
        <f>(('Unit Costs'!$G$6*Assumptions!$E$33)+('Unit Costs'!$G$7))*Assumptions!$E$35</f>
        <v>54408</v>
      </c>
      <c r="D25" s="56">
        <f>C25</f>
        <v>54408</v>
      </c>
      <c r="E25" s="56">
        <f>D25*Assumptions!$E$36/Assumptions!$E$31</f>
        <v>13602</v>
      </c>
      <c r="F25" t="s">
        <v>299</v>
      </c>
    </row>
    <row r="26" spans="1:8" x14ac:dyDescent="0.3">
      <c r="B26" t="s">
        <v>306</v>
      </c>
      <c r="C26" s="56">
        <f>'Unit Costs'!$G$3*Assumptions!$E$43</f>
        <v>7744</v>
      </c>
      <c r="D26" s="56">
        <f>IF(Assumptions!$E$10="Home Language",0,$C26)</f>
        <v>0</v>
      </c>
      <c r="E26" s="56">
        <f>D26*Assumptions!$E$47/Assumptions!$E$42</f>
        <v>0</v>
      </c>
      <c r="F26" t="s">
        <v>299</v>
      </c>
    </row>
    <row r="27" spans="1:8" x14ac:dyDescent="0.3">
      <c r="B27" t="s">
        <v>303</v>
      </c>
      <c r="C27" s="56">
        <f>('Unit Costs'!$G$4+'Unit Costs'!$G$5)*Assumptions!$E$44*Assumptions!$E$45</f>
        <v>67755</v>
      </c>
      <c r="D27" s="56">
        <f>IF(Assumptions!$E$10="Home Language",0,$C27)</f>
        <v>0</v>
      </c>
      <c r="E27" s="56">
        <f>D27*Assumptions!$E$47/Assumptions!$E$42</f>
        <v>0</v>
      </c>
      <c r="F27" t="s">
        <v>299</v>
      </c>
    </row>
    <row r="28" spans="1:8" x14ac:dyDescent="0.3">
      <c r="B28" t="s">
        <v>558</v>
      </c>
      <c r="C28" s="56">
        <f>(('Unit Costs'!$G$6*Assumptions!$E$44)+('Unit Costs'!$G$7))*Assumptions!$E$46</f>
        <v>45272</v>
      </c>
      <c r="D28" s="56">
        <f>IF(Assumptions!$E$10="Home Language",0,$C28)</f>
        <v>0</v>
      </c>
      <c r="E28" s="56">
        <f>D28*Assumptions!$E$47/Assumptions!$E$42</f>
        <v>0</v>
      </c>
      <c r="F28" t="s">
        <v>299</v>
      </c>
    </row>
    <row r="29" spans="1:8" x14ac:dyDescent="0.3">
      <c r="C29" s="56"/>
      <c r="D29" s="56"/>
      <c r="E29" s="56"/>
    </row>
    <row r="30" spans="1:8" x14ac:dyDescent="0.3">
      <c r="A30" s="13" t="s">
        <v>307</v>
      </c>
      <c r="C30" s="56"/>
      <c r="D30" s="56"/>
      <c r="E30" s="56"/>
    </row>
    <row r="31" spans="1:8" x14ac:dyDescent="0.3">
      <c r="A31" s="13"/>
      <c r="B31" t="s">
        <v>308</v>
      </c>
      <c r="C31" s="56">
        <f>'Unit Costs'!$G$10</f>
        <v>150000</v>
      </c>
      <c r="D31" s="56">
        <f>IF(Assumptions!$E$13="Yes",$C31,0)</f>
        <v>0</v>
      </c>
      <c r="E31" s="56">
        <f>D31</f>
        <v>0</v>
      </c>
      <c r="F31" t="s">
        <v>299</v>
      </c>
    </row>
    <row r="33" spans="1:6" x14ac:dyDescent="0.3">
      <c r="A33" s="13" t="s">
        <v>309</v>
      </c>
      <c r="C33" s="56"/>
      <c r="D33" s="56"/>
      <c r="E33" s="56"/>
    </row>
    <row r="34" spans="1:6" x14ac:dyDescent="0.3">
      <c r="A34" s="13"/>
      <c r="B34" t="s">
        <v>310</v>
      </c>
      <c r="C34" s="56">
        <f>'Unit Costs'!$G$13</f>
        <v>1505</v>
      </c>
      <c r="D34" s="56">
        <f>C34</f>
        <v>1505</v>
      </c>
      <c r="E34" s="56">
        <f>D34/Assumptions!$E$50</f>
        <v>752.5</v>
      </c>
      <c r="F34" t="s">
        <v>311</v>
      </c>
    </row>
    <row r="35" spans="1:6" x14ac:dyDescent="0.3">
      <c r="B35" t="s">
        <v>312</v>
      </c>
      <c r="C35" s="56">
        <f>'Unit Costs'!$G$16</f>
        <v>811</v>
      </c>
      <c r="D35" s="56">
        <f>IF(Assumptions!$E$10="Home Language",0,$C35)</f>
        <v>0</v>
      </c>
      <c r="E35" s="56">
        <f>D35/Assumptions!$E$50</f>
        <v>0</v>
      </c>
      <c r="F35" t="s">
        <v>311</v>
      </c>
    </row>
    <row r="36" spans="1:6" x14ac:dyDescent="0.3">
      <c r="C36" s="56"/>
      <c r="D36" s="56"/>
      <c r="E36" s="56"/>
    </row>
    <row r="37" spans="1:6" x14ac:dyDescent="0.3">
      <c r="A37" s="13" t="s">
        <v>313</v>
      </c>
      <c r="C37" s="56"/>
      <c r="D37" s="56"/>
      <c r="E37" s="56"/>
    </row>
    <row r="38" spans="1:6" x14ac:dyDescent="0.3">
      <c r="A38" s="13"/>
      <c r="B38" t="s">
        <v>314</v>
      </c>
      <c r="C38" s="56">
        <f>'Unit Costs'!$G$12</f>
        <v>615</v>
      </c>
      <c r="D38" s="56">
        <f>IF(Assumptions!$E$13="Yes",0,$C38)</f>
        <v>615</v>
      </c>
      <c r="E38" s="56">
        <f>D38/Assumptions!$E$50</f>
        <v>307.5</v>
      </c>
      <c r="F38" t="s">
        <v>311</v>
      </c>
    </row>
    <row r="39" spans="1:6" x14ac:dyDescent="0.3">
      <c r="B39" t="s">
        <v>315</v>
      </c>
      <c r="C39" s="56">
        <f>'Unit Costs'!$G$15</f>
        <v>331</v>
      </c>
      <c r="D39" s="56">
        <f>IF(OR(Assumptions!$E$13="Yes", Assumptions!$E$10="Home Language"),0,$C39)</f>
        <v>0</v>
      </c>
      <c r="E39" s="56">
        <f>D39/Assumptions!$E$50</f>
        <v>0</v>
      </c>
      <c r="F39" t="s">
        <v>311</v>
      </c>
    </row>
    <row r="40" spans="1:6" x14ac:dyDescent="0.3">
      <c r="C40" s="56"/>
      <c r="D40" s="56"/>
      <c r="E40" s="56"/>
    </row>
    <row r="41" spans="1:6" x14ac:dyDescent="0.3">
      <c r="A41" s="13" t="s">
        <v>316</v>
      </c>
      <c r="C41" s="56"/>
      <c r="D41" s="56"/>
      <c r="E41" s="56"/>
    </row>
    <row r="42" spans="1:6" x14ac:dyDescent="0.3">
      <c r="A42" s="13"/>
      <c r="B42" t="s">
        <v>199</v>
      </c>
      <c r="C42" s="56">
        <f>'Unit Costs'!$G$18</f>
        <v>2839</v>
      </c>
      <c r="D42" s="56">
        <f>IF(Assumptions!$E$13="Yes",$C42,0)</f>
        <v>0</v>
      </c>
      <c r="E42" s="56">
        <f>D42/Assumptions!$E$50</f>
        <v>0</v>
      </c>
      <c r="F42" t="s">
        <v>311</v>
      </c>
    </row>
    <row r="43" spans="1:6" x14ac:dyDescent="0.3">
      <c r="B43" t="s">
        <v>203</v>
      </c>
      <c r="C43" s="56">
        <f>'Unit Costs'!$G$19</f>
        <v>900</v>
      </c>
      <c r="D43" s="56">
        <f>IF(Assumptions!$E$13="Yes",$C43,0)</f>
        <v>0</v>
      </c>
      <c r="E43" s="56">
        <f>D43</f>
        <v>0</v>
      </c>
      <c r="F43" t="s">
        <v>311</v>
      </c>
    </row>
    <row r="45" spans="1:6" x14ac:dyDescent="0.3">
      <c r="A45" s="13" t="s">
        <v>16</v>
      </c>
      <c r="C45" s="56"/>
      <c r="D45" s="56"/>
      <c r="E45" s="56"/>
    </row>
    <row r="46" spans="1:6" x14ac:dyDescent="0.3">
      <c r="A46" s="13"/>
      <c r="B46" t="s">
        <v>317</v>
      </c>
      <c r="C46" s="56">
        <f>'Unit Costs'!$G$37*(Assumptions!$E$55*Assumptions!$E$56)</f>
        <v>826</v>
      </c>
      <c r="D46" s="56">
        <f t="shared" ref="D46:E50" si="0">C46</f>
        <v>826</v>
      </c>
      <c r="E46" s="56">
        <f t="shared" si="0"/>
        <v>826</v>
      </c>
      <c r="F46" t="s">
        <v>311</v>
      </c>
    </row>
    <row r="47" spans="1:6" x14ac:dyDescent="0.3">
      <c r="A47" s="13"/>
      <c r="B47" t="s">
        <v>318</v>
      </c>
      <c r="C47" s="56">
        <f>(Assumptions!$E$55-1)*Assumptions!$E$56*'Unit Costs'!$G$34</f>
        <v>1440</v>
      </c>
      <c r="D47" s="56">
        <f>C47</f>
        <v>1440</v>
      </c>
      <c r="E47" s="56">
        <f>D47</f>
        <v>1440</v>
      </c>
      <c r="F47" t="s">
        <v>311</v>
      </c>
    </row>
    <row r="48" spans="1:6" x14ac:dyDescent="0.3">
      <c r="B48" t="s">
        <v>319</v>
      </c>
      <c r="C48" s="56">
        <f>'Unit Costs'!$G$37*(Assumptions!$E$57*Assumptions!$E$58)</f>
        <v>1239</v>
      </c>
      <c r="D48" s="56">
        <f t="shared" si="0"/>
        <v>1239</v>
      </c>
      <c r="E48" s="56">
        <f t="shared" si="0"/>
        <v>1239</v>
      </c>
      <c r="F48" t="s">
        <v>311</v>
      </c>
    </row>
    <row r="49" spans="1:9" x14ac:dyDescent="0.3">
      <c r="B49" t="s">
        <v>320</v>
      </c>
      <c r="C49" s="56">
        <f>(Assumptions!$E$57-1)*Assumptions!$E$58*'Unit Costs'!$G$34</f>
        <v>0</v>
      </c>
      <c r="D49" s="56">
        <f>C49</f>
        <v>0</v>
      </c>
      <c r="E49" s="56">
        <f>D49</f>
        <v>0</v>
      </c>
      <c r="F49" t="s">
        <v>311</v>
      </c>
    </row>
    <row r="50" spans="1:9" x14ac:dyDescent="0.3">
      <c r="B50" t="s">
        <v>321</v>
      </c>
      <c r="C50" s="56">
        <f>'Unit Costs'!$G$38*Assumptions!$E$59*Assumptions!$E$60</f>
        <v>0</v>
      </c>
      <c r="D50" s="56">
        <f t="shared" si="0"/>
        <v>0</v>
      </c>
      <c r="E50" s="56">
        <f t="shared" si="0"/>
        <v>0</v>
      </c>
      <c r="F50" t="s">
        <v>311</v>
      </c>
    </row>
    <row r="51" spans="1:9" x14ac:dyDescent="0.3">
      <c r="B51" s="149" t="s">
        <v>322</v>
      </c>
      <c r="C51" s="56">
        <f>'Unit Costs'!$G$31*ROUNDUP($B$3/Assumptions!$E$53,0)*(Assumptions!$E$55*Assumptions!$E$56+Assumptions!$E$57*Assumptions!$E$58)/$B$3</f>
        <v>387.2</v>
      </c>
      <c r="D51" s="56">
        <f>IF(Assumptions!$E$11 = "Yes", C51*Assumptions!$E$54, C51)</f>
        <v>96.8</v>
      </c>
      <c r="E51" s="56">
        <f>D51</f>
        <v>96.8</v>
      </c>
      <c r="F51" t="s">
        <v>311</v>
      </c>
      <c r="G51" t="s">
        <v>323</v>
      </c>
    </row>
    <row r="53" spans="1:9" ht="18" x14ac:dyDescent="0.35">
      <c r="A53" s="58" t="s">
        <v>324</v>
      </c>
      <c r="B53" s="58"/>
      <c r="C53" s="58"/>
      <c r="D53" s="58"/>
      <c r="E53" s="58"/>
      <c r="F53" s="58"/>
      <c r="G53" s="58"/>
      <c r="H53" s="58"/>
      <c r="I53" s="58"/>
    </row>
    <row r="54" spans="1:9" ht="15.6" x14ac:dyDescent="0.3">
      <c r="A54" s="13" t="s">
        <v>325</v>
      </c>
      <c r="B54" s="13"/>
      <c r="C54" s="13"/>
      <c r="D54" s="13"/>
      <c r="E54" s="13"/>
      <c r="F54" s="13"/>
      <c r="H54" s="60"/>
    </row>
    <row r="55" spans="1:9" x14ac:dyDescent="0.3">
      <c r="A55" s="68" t="s">
        <v>326</v>
      </c>
      <c r="B55" t="s">
        <v>327</v>
      </c>
      <c r="C55" s="56">
        <f>'Unit Costs'!$G$21*'Unit Costs'!$E$21</f>
        <v>61950.119999999995</v>
      </c>
      <c r="D55" s="56">
        <f>IF(AND(Assumptions!$E$11="Yes",OR(Assumptions!$E$12=Lists!$AB$2,Assumptions!$E$12=Lists!$AB$3)), C55, 0)</f>
        <v>61950.119999999995</v>
      </c>
      <c r="E55" s="56">
        <f>D55/Assumptions!$E$66</f>
        <v>12390.023999999999</v>
      </c>
      <c r="F55" t="s">
        <v>366</v>
      </c>
      <c r="H55" s="59"/>
    </row>
    <row r="56" spans="1:9" x14ac:dyDescent="0.3">
      <c r="A56" s="68"/>
      <c r="B56" t="s">
        <v>329</v>
      </c>
      <c r="C56" s="56">
        <f>'Unit Costs'!$G$44</f>
        <v>7744</v>
      </c>
      <c r="D56" s="56">
        <f>IF(AND(Assumptions!$E$11="Yes",OR(Assumptions!$E$12=Lists!$AB$2,Assumptions!$E$12=Lists!$AB$3)), C56, 0)</f>
        <v>7744</v>
      </c>
      <c r="E56" s="56">
        <f>D56/Assumptions!$E$67</f>
        <v>1548.8</v>
      </c>
      <c r="F56" t="s">
        <v>366</v>
      </c>
    </row>
    <row r="57" spans="1:9" x14ac:dyDescent="0.3">
      <c r="A57" s="68"/>
      <c r="B57" t="s">
        <v>330</v>
      </c>
      <c r="C57" s="56">
        <f>'Unit Costs'!$G$24</f>
        <v>38719</v>
      </c>
      <c r="D57" s="56">
        <f>IF(AND(Assumptions!$E$11="Yes",OR(Assumptions!$E$12=Lists!$AB$2,Assumptions!$E$12=Lists!$AB$3)), C57, 0)</f>
        <v>38719</v>
      </c>
      <c r="E57" s="56">
        <f>D57/Assumptions!$E$66</f>
        <v>7743.8</v>
      </c>
      <c r="F57" t="s">
        <v>366</v>
      </c>
    </row>
    <row r="58" spans="1:9" x14ac:dyDescent="0.3">
      <c r="A58" s="68"/>
      <c r="B58" t="s">
        <v>331</v>
      </c>
      <c r="C58" s="56">
        <f>Assumptions!$E$69*'Unit Costs'!$G$26</f>
        <v>3225</v>
      </c>
      <c r="D58" s="56">
        <f>IF(AND(Assumptions!$E$11="Yes",OR(Assumptions!$E$12=Lists!$AB$2,Assumptions!$E$12=Lists!$AB$3)), C58, 0)</f>
        <v>3225</v>
      </c>
      <c r="E58" s="56">
        <f>D58/Assumptions!$E$66</f>
        <v>645</v>
      </c>
      <c r="F58" t="s">
        <v>366</v>
      </c>
    </row>
    <row r="59" spans="1:9" x14ac:dyDescent="0.3">
      <c r="A59" s="68"/>
      <c r="B59" t="s">
        <v>332</v>
      </c>
      <c r="C59" s="56">
        <f>(Assumptions!$E$69-1)*'Unit Costs'!$G$27</f>
        <v>5760</v>
      </c>
      <c r="D59" s="56">
        <f>IF(AND(Assumptions!$E$11="Yes",OR(Assumptions!$E$12=Lists!$AB$2,Assumptions!$E$12=Lists!$AB$3)), C59, 0)</f>
        <v>5760</v>
      </c>
      <c r="E59" s="56">
        <f>D59/Assumptions!$E$66</f>
        <v>1152</v>
      </c>
      <c r="F59" t="s">
        <v>366</v>
      </c>
    </row>
    <row r="60" spans="1:9" x14ac:dyDescent="0.3">
      <c r="A60" s="68"/>
      <c r="B60" s="149" t="s">
        <v>555</v>
      </c>
      <c r="C60" s="56">
        <f>'Unit Costs'!$G$32*ROUNDUP($B$6/Assumptions!$E$64,0)*Assumptions!C$69/($B$6)</f>
        <v>3072.8571428571427</v>
      </c>
      <c r="D60" s="56">
        <f>IF(AND(Assumptions!$E$11="Yes",OR(Assumptions!$E$12=Lists!$AB$2,Assumptions!$E$12=Lists!$AB$3)), C60, 0)*Assumptions!$G$65</f>
        <v>0</v>
      </c>
      <c r="E60" s="56">
        <f>D60/Assumptions!$E$66</f>
        <v>0</v>
      </c>
      <c r="F60" t="s">
        <v>366</v>
      </c>
    </row>
    <row r="61" spans="1:9" x14ac:dyDescent="0.3">
      <c r="A61" s="68"/>
    </row>
    <row r="62" spans="1:9" x14ac:dyDescent="0.3">
      <c r="A62" s="68" t="s">
        <v>334</v>
      </c>
      <c r="B62" t="s">
        <v>571</v>
      </c>
      <c r="C62" s="56">
        <f>'Unit Costs'!$G$29</f>
        <v>516251</v>
      </c>
      <c r="D62" s="56">
        <f>IF(AND(Assumptions!$E$11="Yes",OR(Assumptions!$E$12=Lists!$AB$2,Assumptions!$E$12=Lists!$AB$3)), C62, 0)</f>
        <v>516251</v>
      </c>
      <c r="E62" s="56">
        <f t="shared" ref="E62:E67" si="1">D62</f>
        <v>516251</v>
      </c>
      <c r="F62" t="s">
        <v>366</v>
      </c>
    </row>
    <row r="63" spans="1:9" x14ac:dyDescent="0.3">
      <c r="A63" s="68"/>
      <c r="B63" t="s">
        <v>336</v>
      </c>
      <c r="C63" s="56">
        <f>'Unit Costs'!$G$30*$B$7/$B$6</f>
        <v>59000.095238095237</v>
      </c>
      <c r="D63" s="56">
        <f>IF(AND(Assumptions!$E$11="Yes",OR(Assumptions!$E$12=Lists!$AB$2,Assumptions!$E$12=Lists!$AB$3)), C63, 0)</f>
        <v>59000.095238095237</v>
      </c>
      <c r="E63" s="56">
        <f t="shared" si="1"/>
        <v>59000.095238095237</v>
      </c>
      <c r="F63" t="s">
        <v>366</v>
      </c>
    </row>
    <row r="64" spans="1:9" x14ac:dyDescent="0.3">
      <c r="A64" s="68"/>
      <c r="B64" t="s">
        <v>337</v>
      </c>
      <c r="C64" s="56">
        <f>'Unit Costs'!$G$40</f>
        <v>4337</v>
      </c>
      <c r="D64" s="56">
        <f>IF(AND(Assumptions!$E$11="Yes",OR(Assumptions!$E$12=Lists!$AB$2,Assumptions!$E$12=Lists!$AB$3)), C64, 0)</f>
        <v>4337</v>
      </c>
      <c r="E64" s="56">
        <f t="shared" si="1"/>
        <v>4337</v>
      </c>
      <c r="F64" t="s">
        <v>366</v>
      </c>
    </row>
    <row r="65" spans="1:8" x14ac:dyDescent="0.3">
      <c r="A65" s="68"/>
      <c r="B65" t="s">
        <v>338</v>
      </c>
      <c r="C65" s="56">
        <f>4*(Assumptions!$E$70*'Unit Costs'!$G$26)</f>
        <v>5160</v>
      </c>
      <c r="D65" s="56">
        <f>IF(AND(Assumptions!$E$11="Yes",OR(Assumptions!$E$12=Lists!$AB$2,Assumptions!$E$12=Lists!$AB$3)), C65, 0)</f>
        <v>5160</v>
      </c>
      <c r="E65" s="56">
        <f t="shared" si="1"/>
        <v>5160</v>
      </c>
      <c r="F65" t="s">
        <v>366</v>
      </c>
    </row>
    <row r="66" spans="1:8" x14ac:dyDescent="0.3">
      <c r="A66" s="68"/>
      <c r="B66" t="s">
        <v>339</v>
      </c>
      <c r="C66" s="56">
        <f>4*((Assumptions!$E$70-1)*'Unit Costs'!$G$27)</f>
        <v>5760</v>
      </c>
      <c r="D66" s="56">
        <f>IF(AND(Assumptions!$E$11="Yes",OR(Assumptions!$E$12=Lists!$AB$2,Assumptions!$E$12=Lists!$AB$3)), C66, 0)</f>
        <v>5760</v>
      </c>
      <c r="E66" s="56">
        <f t="shared" si="1"/>
        <v>5760</v>
      </c>
      <c r="F66" t="s">
        <v>366</v>
      </c>
    </row>
    <row r="67" spans="1:8" x14ac:dyDescent="0.3">
      <c r="A67" s="68"/>
      <c r="B67" s="149" t="s">
        <v>556</v>
      </c>
      <c r="C67" s="56">
        <f>4*'Unit Costs'!$G$32*ROUNDUP($B$6/Assumptions!$E$64,0)*Assumptions!$E$70/($B$6)</f>
        <v>4916.5714285714284</v>
      </c>
      <c r="D67" s="56">
        <f>IF(AND(Assumptions!$E$11="Yes",OR(Assumptions!$E$12=Lists!$AB$2,Assumptions!$E$12=Lists!$AB$3)), C67, 0)*Assumptions!$G$65</f>
        <v>0</v>
      </c>
      <c r="E67" s="56">
        <f t="shared" si="1"/>
        <v>0</v>
      </c>
      <c r="F67" t="s">
        <v>366</v>
      </c>
    </row>
    <row r="68" spans="1:8" x14ac:dyDescent="0.3">
      <c r="A68" s="68"/>
    </row>
    <row r="69" spans="1:8" x14ac:dyDescent="0.3">
      <c r="A69" s="68" t="s">
        <v>341</v>
      </c>
      <c r="B69" s="63" t="s">
        <v>342</v>
      </c>
      <c r="C69" s="64">
        <f>'Unit Costs'!$G$41</f>
        <v>69694</v>
      </c>
      <c r="D69" s="64">
        <f>IF(AND(Assumptions!$E$11="Yes",Assumptions!$E$12=Lists!$AB$2), C69, 0)</f>
        <v>0</v>
      </c>
      <c r="E69" s="64">
        <f>D69</f>
        <v>0</v>
      </c>
      <c r="F69" t="s">
        <v>366</v>
      </c>
      <c r="G69" t="s">
        <v>343</v>
      </c>
    </row>
    <row r="70" spans="1:8" x14ac:dyDescent="0.3">
      <c r="A70" s="68"/>
      <c r="B70" s="63" t="s">
        <v>557</v>
      </c>
      <c r="C70" s="64">
        <f>'Unit Costs'!$G$42</f>
        <v>30975</v>
      </c>
      <c r="D70" s="64">
        <f>IF(AND(Assumptions!$E$11="Yes",Assumptions!$E$12=Lists!$AB$2), C70, 0)</f>
        <v>0</v>
      </c>
      <c r="E70" s="64">
        <f>D70</f>
        <v>0</v>
      </c>
      <c r="F70" t="s">
        <v>366</v>
      </c>
    </row>
    <row r="71" spans="1:8" x14ac:dyDescent="0.3">
      <c r="A71" s="68"/>
      <c r="C71" s="56"/>
      <c r="D71" s="56"/>
      <c r="E71" s="56"/>
    </row>
    <row r="72" spans="1:8" x14ac:dyDescent="0.3">
      <c r="A72" s="68" t="s">
        <v>345</v>
      </c>
      <c r="B72" t="s">
        <v>346</v>
      </c>
      <c r="C72" s="56">
        <f>'Unit Costs'!$G$43</f>
        <v>10067</v>
      </c>
      <c r="D72" s="56">
        <f>IF(AND(Assumptions!$E$11="Yes",Assumptions!$E$12=Lists!$AB$3),C72,0)</f>
        <v>10067</v>
      </c>
      <c r="E72" s="56">
        <f>D72</f>
        <v>10067</v>
      </c>
      <c r="F72" t="s">
        <v>366</v>
      </c>
    </row>
    <row r="73" spans="1:8" x14ac:dyDescent="0.3">
      <c r="A73" s="68"/>
      <c r="C73" s="56"/>
      <c r="D73" s="56"/>
      <c r="E73" s="56"/>
    </row>
    <row r="74" spans="1:8" x14ac:dyDescent="0.3">
      <c r="A74" s="68"/>
    </row>
    <row r="75" spans="1:8" ht="15.6" x14ac:dyDescent="0.3">
      <c r="A75" s="13" t="s">
        <v>347</v>
      </c>
      <c r="B75" s="13"/>
      <c r="C75" s="13"/>
      <c r="D75" s="13"/>
      <c r="E75" s="13"/>
      <c r="F75" s="13"/>
      <c r="H75" s="60"/>
    </row>
    <row r="76" spans="1:8" x14ac:dyDescent="0.3">
      <c r="A76" s="68" t="s">
        <v>326</v>
      </c>
      <c r="B76" t="s">
        <v>348</v>
      </c>
      <c r="C76" s="56">
        <f>'Unit Costs'!$G$21*'Unit Costs'!$E$21</f>
        <v>61950.119999999995</v>
      </c>
      <c r="D76" s="56">
        <f>IF(AND(Assumptions!$E$11="Yes",Assumptions!$E$12=Lists!$AB$4), C76, 0)</f>
        <v>0</v>
      </c>
      <c r="E76" s="56">
        <f>D76/Assumptions!$E$75</f>
        <v>0</v>
      </c>
      <c r="F76" t="s">
        <v>572</v>
      </c>
      <c r="H76" s="59"/>
    </row>
    <row r="77" spans="1:8" x14ac:dyDescent="0.3">
      <c r="A77" s="68"/>
      <c r="B77" t="s">
        <v>350</v>
      </c>
      <c r="C77" s="56">
        <f>'Unit Costs'!$G$44</f>
        <v>7744</v>
      </c>
      <c r="D77" s="56">
        <f>IF(AND(Assumptions!$E$11="Yes",Assumptions!$E$12=Lists!$AB$4), C77, 0)</f>
        <v>0</v>
      </c>
      <c r="E77" s="56">
        <f>D77/Assumptions!$E$76</f>
        <v>0</v>
      </c>
      <c r="F77" t="s">
        <v>572</v>
      </c>
    </row>
    <row r="78" spans="1:8" x14ac:dyDescent="0.3">
      <c r="A78" s="68"/>
      <c r="B78" t="s">
        <v>330</v>
      </c>
      <c r="C78" s="56">
        <f>'Unit Costs'!$G$24</f>
        <v>38719</v>
      </c>
      <c r="D78" s="56">
        <f>IF(AND(Assumptions!$E$11="Yes",Assumptions!$E$12=Lists!$AB$4), C78, 0)</f>
        <v>0</v>
      </c>
      <c r="E78" s="56">
        <f>D78/Assumptions!$E$75</f>
        <v>0</v>
      </c>
      <c r="F78" t="s">
        <v>572</v>
      </c>
    </row>
    <row r="79" spans="1:8" x14ac:dyDescent="0.3">
      <c r="A79" s="68"/>
      <c r="B79" t="s">
        <v>351</v>
      </c>
      <c r="C79" s="56">
        <f>Assumptions!$E$69*'Unit Costs'!$G$26</f>
        <v>3225</v>
      </c>
      <c r="D79" s="56">
        <f>IF(AND(Assumptions!$E$11="Yes",Assumptions!$E$12=Lists!$AB$4), C79, 0)</f>
        <v>0</v>
      </c>
      <c r="E79" s="56">
        <f>D79/Assumptions!$E$75</f>
        <v>0</v>
      </c>
      <c r="F79" t="s">
        <v>572</v>
      </c>
    </row>
    <row r="80" spans="1:8" x14ac:dyDescent="0.3">
      <c r="A80" s="68"/>
      <c r="B80" t="s">
        <v>352</v>
      </c>
      <c r="C80" s="56">
        <f>(Assumptions!$E$69-1)*'Unit Costs'!$G$27</f>
        <v>5760</v>
      </c>
      <c r="D80" s="56">
        <f>IF(AND(Assumptions!$E$11="Yes",Assumptions!$E$12=Lists!$AB$4), C80, 0)</f>
        <v>0</v>
      </c>
      <c r="E80" s="56">
        <f>D80/Assumptions!$E$75</f>
        <v>0</v>
      </c>
      <c r="F80" t="s">
        <v>572</v>
      </c>
    </row>
    <row r="81" spans="1:6" x14ac:dyDescent="0.3">
      <c r="A81" s="68"/>
      <c r="B81" s="149" t="s">
        <v>353</v>
      </c>
      <c r="C81" s="56">
        <f>'Unit Costs'!$G$32*ROUNDUP($B$9/Assumptions!$E$74,0)*Assumptions!$E$80*Assumptions!$E$81/($B$9)</f>
        <v>0</v>
      </c>
      <c r="D81" s="56">
        <f>IF(AND(Assumptions!$E$11="Yes",Assumptions!$E$12=Lists!$AB$4), C81, 0)*Assumptions!$G$79</f>
        <v>0</v>
      </c>
      <c r="E81" s="56">
        <f>D81/Assumptions!$E$75</f>
        <v>0</v>
      </c>
      <c r="F81" t="s">
        <v>572</v>
      </c>
    </row>
    <row r="82" spans="1:6" x14ac:dyDescent="0.3">
      <c r="A82" s="68"/>
    </row>
    <row r="83" spans="1:6" x14ac:dyDescent="0.3">
      <c r="A83" s="68" t="s">
        <v>354</v>
      </c>
      <c r="B83" t="s">
        <v>355</v>
      </c>
      <c r="C83" s="56">
        <f>'Unit Costs'!$G$29</f>
        <v>516251</v>
      </c>
      <c r="D83" s="56">
        <f>IF(AND(Assumptions!$E$11="Yes",Assumptions!$E$12=Lists!$AB$4), C83, 0)</f>
        <v>0</v>
      </c>
      <c r="E83" s="56">
        <f t="shared" ref="E83:E88" si="2">D83</f>
        <v>0</v>
      </c>
      <c r="F83" t="s">
        <v>572</v>
      </c>
    </row>
    <row r="84" spans="1:6" x14ac:dyDescent="0.3">
      <c r="A84" s="68"/>
      <c r="B84" t="s">
        <v>356</v>
      </c>
      <c r="C84" s="56">
        <f>'Unit Costs'!$G$30*$B$11/$B$10</f>
        <v>31860.051428571427</v>
      </c>
      <c r="D84" s="56">
        <f>IF(AND(Assumptions!$E$11="Yes",Assumptions!$E$12=Lists!$AB$4), C84, 0)</f>
        <v>0</v>
      </c>
      <c r="E84" s="56">
        <f t="shared" si="2"/>
        <v>0</v>
      </c>
      <c r="F84" t="s">
        <v>572</v>
      </c>
    </row>
    <row r="85" spans="1:6" x14ac:dyDescent="0.3">
      <c r="A85" s="68"/>
      <c r="B85" t="s">
        <v>337</v>
      </c>
      <c r="C85" s="56">
        <f>'Unit Costs'!$G$40</f>
        <v>4337</v>
      </c>
      <c r="D85" s="56">
        <f>IF(AND(Assumptions!$E$11="Yes",Assumptions!$E$12=Lists!$AB$4), C85, 0)</f>
        <v>0</v>
      </c>
      <c r="E85" s="56">
        <f t="shared" si="2"/>
        <v>0</v>
      </c>
      <c r="F85" t="s">
        <v>572</v>
      </c>
    </row>
    <row r="86" spans="1:6" x14ac:dyDescent="0.3">
      <c r="A86" s="68"/>
      <c r="B86" t="s">
        <v>357</v>
      </c>
      <c r="C86" s="56">
        <f>4*(Assumptions!$E$70*'Unit Costs'!$G$26)</f>
        <v>5160</v>
      </c>
      <c r="D86" s="56">
        <f>IF(AND(Assumptions!$E$11="Yes",Assumptions!$E$12=Lists!$AB$4), C86, 0)</f>
        <v>0</v>
      </c>
      <c r="E86" s="56">
        <f t="shared" si="2"/>
        <v>0</v>
      </c>
      <c r="F86" t="s">
        <v>572</v>
      </c>
    </row>
    <row r="87" spans="1:6" x14ac:dyDescent="0.3">
      <c r="A87" s="68"/>
      <c r="B87" t="s">
        <v>358</v>
      </c>
      <c r="C87" s="56">
        <f>4*((Assumptions!$E$70-1)*'Unit Costs'!$G$27)</f>
        <v>5760</v>
      </c>
      <c r="D87" s="56">
        <f>IF(AND(Assumptions!$E$11="Yes",Assumptions!$E$12=Lists!$AB$4), C87, 0)</f>
        <v>0</v>
      </c>
      <c r="E87" s="56">
        <f t="shared" si="2"/>
        <v>0</v>
      </c>
      <c r="F87" t="s">
        <v>572</v>
      </c>
    </row>
    <row r="88" spans="1:6" x14ac:dyDescent="0.3">
      <c r="A88" s="68"/>
      <c r="B88" s="149" t="s">
        <v>359</v>
      </c>
      <c r="C88" s="56">
        <f>'Unit Costs'!$G$32*ROUNDUP($B$9/Assumptions!$E$74,0)*Assumptions!$E$82*Assumptions!$E$83/($B$9)</f>
        <v>0</v>
      </c>
      <c r="D88" s="56">
        <f>IF(AND(Assumptions!$E$11="Yes",Assumptions!$E$12=Lists!$AB$4), C88, 0)*Assumptions!$G$79</f>
        <v>0</v>
      </c>
      <c r="E88" s="56">
        <f t="shared" si="2"/>
        <v>0</v>
      </c>
      <c r="F88" t="s">
        <v>572</v>
      </c>
    </row>
    <row r="89" spans="1:6" x14ac:dyDescent="0.3">
      <c r="A89" s="68"/>
    </row>
    <row r="90" spans="1:6" x14ac:dyDescent="0.3">
      <c r="A90" s="68" t="s">
        <v>360</v>
      </c>
      <c r="B90" s="63" t="s">
        <v>361</v>
      </c>
      <c r="C90" s="64">
        <f>'Unit Costs'!$G$41</f>
        <v>69694</v>
      </c>
      <c r="D90" s="56">
        <f>IF(AND(Assumptions!$E$11="Yes",Assumptions!$E$12=Lists!$AB$4), C90, 0)</f>
        <v>0</v>
      </c>
      <c r="E90" s="64">
        <f>D90</f>
        <v>0</v>
      </c>
      <c r="F90" t="s">
        <v>572</v>
      </c>
    </row>
    <row r="91" spans="1:6" x14ac:dyDescent="0.3">
      <c r="A91" s="68"/>
      <c r="B91" s="63" t="s">
        <v>557</v>
      </c>
      <c r="C91" s="64">
        <f>'Unit Costs'!$G$42</f>
        <v>30975</v>
      </c>
      <c r="D91" s="56">
        <f>IF(AND(Assumptions!$E$11="Yes",Assumptions!$E$12=Lists!$AB$4), C91, 0)</f>
        <v>0</v>
      </c>
      <c r="E91" s="64">
        <f>D91</f>
        <v>0</v>
      </c>
      <c r="F91" t="s">
        <v>572</v>
      </c>
    </row>
    <row r="92" spans="1:6" x14ac:dyDescent="0.3">
      <c r="A92" s="68"/>
      <c r="D92" s="56"/>
    </row>
    <row r="93" spans="1:6" x14ac:dyDescent="0.3">
      <c r="A93" s="68"/>
      <c r="D93" s="56"/>
    </row>
    <row r="94" spans="1:6" x14ac:dyDescent="0.3">
      <c r="A94" s="68" t="s">
        <v>362</v>
      </c>
      <c r="B94" t="s">
        <v>363</v>
      </c>
      <c r="C94" s="56">
        <f>(('Unit Costs'!$G$35+(Assumptions!$E$80-2)*'Unit Costs'!$G$36)*Assumptions!$E$81)*$B$9/$B$10</f>
        <v>0</v>
      </c>
      <c r="D94" s="56">
        <f>IF(AND(Assumptions!$E$11="Yes",Assumptions!$E$12=Lists!$AB$4),C94,0)</f>
        <v>0</v>
      </c>
      <c r="E94" s="56">
        <f>D94</f>
        <v>0</v>
      </c>
      <c r="F94" t="s">
        <v>572</v>
      </c>
    </row>
    <row r="95" spans="1:6" x14ac:dyDescent="0.3">
      <c r="A95" s="68"/>
      <c r="B95" t="s">
        <v>364</v>
      </c>
      <c r="C95" s="56">
        <f>(('Unit Costs'!$G$35+(Assumptions!$E$82-2)*'Unit Costs'!$G$36)*Assumptions!$E$83)*$B$9/$B$10</f>
        <v>0</v>
      </c>
      <c r="D95" s="56">
        <f>IF(AND(Assumptions!$E$11="Yes",Assumptions!$E$12=Lists!$AB$4),C95,0)</f>
        <v>0</v>
      </c>
      <c r="E95" s="56">
        <f>D95</f>
        <v>0</v>
      </c>
      <c r="F95" t="s">
        <v>572</v>
      </c>
    </row>
    <row r="96" spans="1:6" x14ac:dyDescent="0.3">
      <c r="A96" s="68"/>
      <c r="C96" s="56"/>
      <c r="D96" s="56"/>
      <c r="E96" s="56"/>
    </row>
    <row r="98" spans="1:9" ht="18" x14ac:dyDescent="0.35">
      <c r="A98" s="58" t="s">
        <v>365</v>
      </c>
      <c r="B98" s="58"/>
      <c r="C98" s="58"/>
      <c r="D98" s="58"/>
      <c r="E98" s="58"/>
      <c r="F98" s="58"/>
      <c r="G98" s="58"/>
      <c r="H98" s="58"/>
      <c r="I98" s="58"/>
    </row>
    <row r="99" spans="1:9" x14ac:dyDescent="0.3">
      <c r="A99" s="13" t="s">
        <v>14</v>
      </c>
      <c r="E99" s="56">
        <f>SUM(E15:$E$31)</f>
        <v>74599.333333333328</v>
      </c>
      <c r="F99" t="s">
        <v>299</v>
      </c>
    </row>
    <row r="100" spans="1:9" x14ac:dyDescent="0.3">
      <c r="E100" s="56">
        <f>E99/$B$6</f>
        <v>7104.6984126984125</v>
      </c>
      <c r="F100" t="s">
        <v>366</v>
      </c>
    </row>
    <row r="101" spans="1:9" x14ac:dyDescent="0.3">
      <c r="E101" s="74">
        <f>E99/$B$3</f>
        <v>71.046984126984128</v>
      </c>
      <c r="F101" s="75" t="s">
        <v>311</v>
      </c>
    </row>
    <row r="103" spans="1:9" x14ac:dyDescent="0.3">
      <c r="A103" s="13" t="s">
        <v>15</v>
      </c>
      <c r="E103" s="74">
        <f>SUM($E$34:$E$43)</f>
        <v>1060</v>
      </c>
      <c r="F103" s="75" t="s">
        <v>311</v>
      </c>
    </row>
    <row r="104" spans="1:9" x14ac:dyDescent="0.3">
      <c r="E104" s="56"/>
    </row>
    <row r="105" spans="1:9" x14ac:dyDescent="0.3">
      <c r="A105" s="13" t="s">
        <v>16</v>
      </c>
      <c r="E105" s="74">
        <f>SUM($E$46:$E$51)</f>
        <v>3601.8</v>
      </c>
      <c r="F105" s="75" t="s">
        <v>311</v>
      </c>
    </row>
    <row r="107" spans="1:9" x14ac:dyDescent="0.3">
      <c r="A107" s="13" t="s">
        <v>17</v>
      </c>
      <c r="E107" s="56">
        <f>SUM($E$55:$E$72)</f>
        <v>624054.71923809522</v>
      </c>
      <c r="F107" t="s">
        <v>366</v>
      </c>
    </row>
    <row r="108" spans="1:9" x14ac:dyDescent="0.3">
      <c r="E108" s="74">
        <f>E107*$B$6/$B$3</f>
        <v>6240.5471923809528</v>
      </c>
      <c r="F108" s="75" t="s">
        <v>311</v>
      </c>
    </row>
    <row r="109" spans="1:9" x14ac:dyDescent="0.3">
      <c r="E109" s="56"/>
    </row>
    <row r="110" spans="1:9" x14ac:dyDescent="0.3">
      <c r="A110" s="13" t="s">
        <v>18</v>
      </c>
      <c r="E110" s="56">
        <f>SUM($E$76:$E$96)</f>
        <v>0</v>
      </c>
      <c r="F110" t="s">
        <v>367</v>
      </c>
    </row>
    <row r="111" spans="1:9" x14ac:dyDescent="0.3">
      <c r="E111" s="74">
        <f>E110*$B$10/$B$3</f>
        <v>0</v>
      </c>
      <c r="F111" s="75" t="s">
        <v>311</v>
      </c>
    </row>
    <row r="112" spans="1:9" x14ac:dyDescent="0.3">
      <c r="E112" s="56"/>
    </row>
    <row r="113" spans="1:8" x14ac:dyDescent="0.3">
      <c r="A113" s="13" t="s">
        <v>19</v>
      </c>
      <c r="E113" s="74">
        <f>SUM(E101,E103,E105,E108)*Assumptions!$E$22</f>
        <v>548.66970882539681</v>
      </c>
      <c r="F113" s="75" t="s">
        <v>311</v>
      </c>
    </row>
    <row r="115" spans="1:8" x14ac:dyDescent="0.3">
      <c r="A115" s="70" t="s">
        <v>368</v>
      </c>
      <c r="B115" s="55"/>
      <c r="C115" s="55"/>
      <c r="D115" s="55"/>
      <c r="E115" s="71">
        <f>SUM($E$101,$E$103,$E$105,$E$108,$E$111,$E$113)</f>
        <v>11522.063885333333</v>
      </c>
      <c r="F115" s="70" t="s">
        <v>311</v>
      </c>
      <c r="G115" s="56"/>
    </row>
    <row r="116" spans="1:8" x14ac:dyDescent="0.3">
      <c r="A116" s="69"/>
      <c r="B116" s="69"/>
      <c r="C116" s="69"/>
      <c r="D116" s="69"/>
      <c r="E116" s="72">
        <f>E115/Assumptions!$E$20</f>
        <v>329.20182529523811</v>
      </c>
      <c r="F116" s="73" t="s">
        <v>369</v>
      </c>
      <c r="G116" s="56"/>
    </row>
    <row r="117" spans="1:8" x14ac:dyDescent="0.3">
      <c r="A117" s="70" t="s">
        <v>370</v>
      </c>
      <c r="B117" s="55"/>
      <c r="C117" s="55"/>
      <c r="D117" s="55"/>
      <c r="E117" s="80">
        <f>E115/Assumptions!$E$23</f>
        <v>622.81426407207209</v>
      </c>
      <c r="F117" s="70" t="s">
        <v>311</v>
      </c>
      <c r="G117" s="56"/>
      <c r="H117" s="79"/>
    </row>
    <row r="118" spans="1:8" x14ac:dyDescent="0.3">
      <c r="A118" s="69"/>
      <c r="B118" s="69"/>
      <c r="C118" s="69"/>
      <c r="D118" s="69"/>
      <c r="E118" s="81">
        <f>E117/Assumptions!$E$20</f>
        <v>17.794693259202059</v>
      </c>
      <c r="F118" s="73" t="s">
        <v>369</v>
      </c>
      <c r="G118" s="56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3A6C7-519D-4A42-A28F-27F225EC339B}">
  <sheetPr>
    <tabColor rgb="FF00B050"/>
  </sheetPr>
  <dimension ref="A1:I118"/>
  <sheetViews>
    <sheetView topLeftCell="A25" zoomScale="88" workbookViewId="0">
      <selection activeCell="E43" sqref="E43"/>
    </sheetView>
  </sheetViews>
  <sheetFormatPr defaultRowHeight="14.4" x14ac:dyDescent="0.3"/>
  <cols>
    <col min="1" max="1" width="47" customWidth="1"/>
    <col min="2" max="2" width="56.44140625" customWidth="1"/>
    <col min="3" max="3" width="22.33203125" customWidth="1"/>
    <col min="4" max="4" width="28.6640625" customWidth="1"/>
    <col min="5" max="5" width="27.6640625" customWidth="1"/>
    <col min="6" max="6" width="38.6640625" customWidth="1"/>
    <col min="7" max="7" width="9.33203125" bestFit="1" customWidth="1"/>
    <col min="8" max="8" width="34" customWidth="1"/>
    <col min="10" max="10" width="28.88671875" customWidth="1"/>
  </cols>
  <sheetData>
    <row r="1" spans="1:9" ht="18" x14ac:dyDescent="0.35">
      <c r="A1" s="58" t="s">
        <v>282</v>
      </c>
      <c r="B1" s="58"/>
      <c r="C1" s="58"/>
      <c r="D1" s="58"/>
      <c r="E1" s="58"/>
      <c r="F1" s="58"/>
      <c r="G1" s="58"/>
      <c r="H1" s="58"/>
      <c r="I1" s="58"/>
    </row>
    <row r="2" spans="1:9" ht="13.5" customHeight="1" x14ac:dyDescent="0.3">
      <c r="A2" t="s">
        <v>283</v>
      </c>
      <c r="B2" s="59">
        <f>Assumptions!$F$14</f>
        <v>175</v>
      </c>
      <c r="C2" s="13"/>
      <c r="D2" s="13"/>
    </row>
    <row r="3" spans="1:9" ht="13.5" customHeight="1" x14ac:dyDescent="0.3">
      <c r="A3" t="s">
        <v>284</v>
      </c>
      <c r="B3" s="59">
        <f>Assumptions!$F$14*Assumptions!$F$16</f>
        <v>1050</v>
      </c>
      <c r="C3" s="13"/>
      <c r="D3" s="13"/>
    </row>
    <row r="4" spans="1:9" ht="13.5" customHeight="1" x14ac:dyDescent="0.3">
      <c r="A4" t="s">
        <v>285</v>
      </c>
      <c r="B4" s="59">
        <f>$B$3*Assumptions!$F$20</f>
        <v>36750</v>
      </c>
      <c r="C4" s="13"/>
      <c r="D4" s="13"/>
      <c r="E4" s="59"/>
    </row>
    <row r="5" spans="1:9" ht="6.75" customHeight="1" x14ac:dyDescent="0.3">
      <c r="B5" s="59"/>
      <c r="C5" s="13"/>
      <c r="D5" s="13"/>
      <c r="E5" s="59"/>
    </row>
    <row r="6" spans="1:9" ht="13.5" customHeight="1" x14ac:dyDescent="0.3">
      <c r="A6" t="s">
        <v>286</v>
      </c>
      <c r="B6" s="59">
        <f>B3/Assumptions!$F$17</f>
        <v>1050</v>
      </c>
      <c r="C6" s="13"/>
      <c r="D6" s="13"/>
      <c r="E6" s="59"/>
    </row>
    <row r="7" spans="1:9" ht="13.5" customHeight="1" x14ac:dyDescent="0.3">
      <c r="A7" t="s">
        <v>287</v>
      </c>
      <c r="B7" s="59">
        <f>ROUNDUP(B6/Assumptions!$F$64,0)</f>
        <v>53</v>
      </c>
      <c r="C7" s="13"/>
      <c r="D7" s="13"/>
    </row>
    <row r="8" spans="1:9" ht="6.75" customHeight="1" x14ac:dyDescent="0.3">
      <c r="B8" s="59"/>
      <c r="C8" s="13"/>
      <c r="D8" s="13"/>
    </row>
    <row r="9" spans="1:9" ht="13.5" customHeight="1" x14ac:dyDescent="0.3">
      <c r="A9" t="s">
        <v>288</v>
      </c>
      <c r="B9" s="59">
        <f>$B$2</f>
        <v>175</v>
      </c>
      <c r="C9" s="13"/>
      <c r="D9" s="13"/>
    </row>
    <row r="10" spans="1:9" ht="13.5" customHeight="1" x14ac:dyDescent="0.3">
      <c r="A10" t="s">
        <v>289</v>
      </c>
      <c r="B10" s="59">
        <f>ROUND($B$9/Assumptions!$F$18,0)</f>
        <v>9</v>
      </c>
    </row>
    <row r="11" spans="1:9" ht="13.5" customHeight="1" x14ac:dyDescent="0.3">
      <c r="A11" t="s">
        <v>290</v>
      </c>
      <c r="B11" s="59">
        <f>ROUNDUP($B$10/Assumptions!$F$74,0)</f>
        <v>1</v>
      </c>
    </row>
    <row r="12" spans="1:9" ht="6.75" customHeight="1" x14ac:dyDescent="0.3">
      <c r="B12" s="59"/>
    </row>
    <row r="13" spans="1:9" ht="18" x14ac:dyDescent="0.35">
      <c r="A13" s="58" t="s">
        <v>291</v>
      </c>
      <c r="B13" s="58"/>
      <c r="C13" s="58"/>
      <c r="D13" s="58"/>
      <c r="E13" s="58"/>
      <c r="F13" s="58"/>
      <c r="G13" s="58"/>
      <c r="H13" s="58"/>
      <c r="I13" s="58"/>
    </row>
    <row r="14" spans="1:9" s="13" customFormat="1" x14ac:dyDescent="0.3">
      <c r="A14" s="13" t="s">
        <v>292</v>
      </c>
      <c r="B14" s="13" t="s">
        <v>293</v>
      </c>
      <c r="C14" s="13" t="s">
        <v>294</v>
      </c>
      <c r="D14" s="13" t="s">
        <v>295</v>
      </c>
      <c r="E14" s="13" t="s">
        <v>296</v>
      </c>
      <c r="F14" s="13" t="s">
        <v>297</v>
      </c>
    </row>
    <row r="15" spans="1:9" x14ac:dyDescent="0.3">
      <c r="B15" t="s">
        <v>298</v>
      </c>
      <c r="C15" s="56">
        <f>'Unit Costs'!$G$3*Assumptions!$F$27</f>
        <v>77440</v>
      </c>
      <c r="D15" s="56">
        <f>C15</f>
        <v>77440</v>
      </c>
      <c r="E15" s="56">
        <f>D15/Assumptions!$F$31</f>
        <v>6453.333333333333</v>
      </c>
      <c r="F15" t="s">
        <v>299</v>
      </c>
      <c r="H15" s="57"/>
    </row>
    <row r="16" spans="1:9" x14ac:dyDescent="0.3">
      <c r="B16" t="s">
        <v>300</v>
      </c>
      <c r="C16" s="56">
        <f>('Unit Costs'!$G$4+'Unit Costs'!$G$5)*Assumptions!$F$29*Assumptions!$F$28</f>
        <v>135510</v>
      </c>
      <c r="D16" s="56">
        <f>C16</f>
        <v>135510</v>
      </c>
      <c r="E16" s="56">
        <f>D16/Assumptions!$F$31</f>
        <v>11292.5</v>
      </c>
      <c r="F16" t="s">
        <v>299</v>
      </c>
    </row>
    <row r="17" spans="1:8" ht="15" customHeight="1" x14ac:dyDescent="0.3">
      <c r="B17" t="s">
        <v>301</v>
      </c>
      <c r="C17" s="56">
        <f>(('Unit Costs'!$G$6*Assumptions!$F$28)+('Unit Costs'!$G$7))*Assumptions!$F$30</f>
        <v>54408</v>
      </c>
      <c r="D17" s="56">
        <f>C17</f>
        <v>54408</v>
      </c>
      <c r="E17" s="56">
        <f>D17/Assumptions!$F$31</f>
        <v>4534</v>
      </c>
      <c r="F17" t="s">
        <v>299</v>
      </c>
    </row>
    <row r="18" spans="1:8" x14ac:dyDescent="0.3">
      <c r="B18" t="s">
        <v>302</v>
      </c>
      <c r="C18" s="56">
        <f>'Unit Costs'!$G$3*Assumptions!$F$38</f>
        <v>19360</v>
      </c>
      <c r="D18" s="56">
        <f>IF(Assumptions!$F$10="Home Language",0,$C18)</f>
        <v>0</v>
      </c>
      <c r="E18" s="56">
        <f>D18/Assumptions!$F$42</f>
        <v>0</v>
      </c>
      <c r="F18" t="s">
        <v>299</v>
      </c>
    </row>
    <row r="19" spans="1:8" x14ac:dyDescent="0.3">
      <c r="B19" t="s">
        <v>303</v>
      </c>
      <c r="C19" s="56">
        <f>('Unit Costs'!$G$4+'Unit Costs'!$G$5)*Assumptions!$F$39*Assumptions!$F$40</f>
        <v>67755</v>
      </c>
      <c r="D19" s="56">
        <f>IF(Assumptions!$F$10="Home Language",0,$C19)</f>
        <v>0</v>
      </c>
      <c r="E19" s="56">
        <f>D19/Assumptions!$F$42</f>
        <v>0</v>
      </c>
      <c r="F19" t="s">
        <v>299</v>
      </c>
    </row>
    <row r="20" spans="1:8" x14ac:dyDescent="0.3">
      <c r="B20" t="s">
        <v>558</v>
      </c>
      <c r="C20" s="56">
        <f>(('Unit Costs'!$G$6*Assumptions!$F$39)+('Unit Costs'!$G$7))*Assumptions!$F$41</f>
        <v>45272</v>
      </c>
      <c r="D20" s="56">
        <f>IF(Assumptions!$F$10="Home Language",0,$C20)</f>
        <v>0</v>
      </c>
      <c r="E20" s="56">
        <f>D20/Assumptions!$F$42</f>
        <v>0</v>
      </c>
      <c r="F20" t="s">
        <v>299</v>
      </c>
    </row>
    <row r="21" spans="1:8" x14ac:dyDescent="0.3">
      <c r="C21" s="56"/>
      <c r="D21" s="56"/>
      <c r="E21" s="56"/>
    </row>
    <row r="22" spans="1:8" x14ac:dyDescent="0.3">
      <c r="A22" s="13" t="s">
        <v>304</v>
      </c>
      <c r="C22" s="56"/>
      <c r="D22" s="56"/>
      <c r="E22" s="56"/>
      <c r="H22" s="57"/>
    </row>
    <row r="23" spans="1:8" x14ac:dyDescent="0.3">
      <c r="A23" s="13"/>
      <c r="B23" t="s">
        <v>305</v>
      </c>
      <c r="C23" s="56">
        <f>'Unit Costs'!$G$3*Assumptions!$F$32</f>
        <v>19360</v>
      </c>
      <c r="D23" s="56">
        <f>C23</f>
        <v>19360</v>
      </c>
      <c r="E23" s="56">
        <f>D23*Assumptions!$F$36/Assumptions!$F$31</f>
        <v>4840</v>
      </c>
      <c r="F23" t="s">
        <v>299</v>
      </c>
      <c r="H23" s="57"/>
    </row>
    <row r="24" spans="1:8" x14ac:dyDescent="0.3">
      <c r="B24" t="s">
        <v>300</v>
      </c>
      <c r="C24" s="56">
        <f>('Unit Costs'!$G$4+'Unit Costs'!$G$5)*Assumptions!$F$34*Assumptions!$F$33</f>
        <v>135510</v>
      </c>
      <c r="D24" s="56">
        <f>C24</f>
        <v>135510</v>
      </c>
      <c r="E24" s="56">
        <f>D24*Assumptions!$F$36/Assumptions!$F$31</f>
        <v>33877.5</v>
      </c>
      <c r="F24" t="s">
        <v>299</v>
      </c>
    </row>
    <row r="25" spans="1:8" ht="15" customHeight="1" x14ac:dyDescent="0.3">
      <c r="B25" t="s">
        <v>569</v>
      </c>
      <c r="C25" s="56">
        <f>(('Unit Costs'!$G$6*Assumptions!$F$33)+('Unit Costs'!$G$7))*Assumptions!$F$35</f>
        <v>54408</v>
      </c>
      <c r="D25" s="56">
        <f>C25</f>
        <v>54408</v>
      </c>
      <c r="E25" s="56">
        <f>D25*Assumptions!$F$36/Assumptions!$F$31</f>
        <v>13602</v>
      </c>
      <c r="F25" t="s">
        <v>299</v>
      </c>
    </row>
    <row r="26" spans="1:8" x14ac:dyDescent="0.3">
      <c r="B26" t="s">
        <v>306</v>
      </c>
      <c r="C26" s="56">
        <f>'Unit Costs'!$G$3*Assumptions!$F$43</f>
        <v>7744</v>
      </c>
      <c r="D26" s="56">
        <f>IF(Assumptions!$F$10="Home Language",0,$C26)</f>
        <v>0</v>
      </c>
      <c r="E26" s="56">
        <f>D26*Assumptions!$F$47/Assumptions!$F$42</f>
        <v>0</v>
      </c>
      <c r="F26" t="s">
        <v>299</v>
      </c>
    </row>
    <row r="27" spans="1:8" x14ac:dyDescent="0.3">
      <c r="B27" t="s">
        <v>303</v>
      </c>
      <c r="C27" s="56">
        <f>('Unit Costs'!$G$4+'Unit Costs'!$G$5)*Assumptions!$F$44*Assumptions!$F$45</f>
        <v>67755</v>
      </c>
      <c r="D27" s="56">
        <f>IF(Assumptions!$F$10="Home Language",0,$C27)</f>
        <v>0</v>
      </c>
      <c r="E27" s="56">
        <f>D27*Assumptions!$F$47/Assumptions!$F$42</f>
        <v>0</v>
      </c>
      <c r="F27" t="s">
        <v>299</v>
      </c>
    </row>
    <row r="28" spans="1:8" x14ac:dyDescent="0.3">
      <c r="B28" t="s">
        <v>558</v>
      </c>
      <c r="C28" s="56">
        <f>(('Unit Costs'!$G$6*Assumptions!$F$44)+('Unit Costs'!$G$7))*Assumptions!$F$46</f>
        <v>45272</v>
      </c>
      <c r="D28" s="56">
        <f>IF(Assumptions!$F$10="Home Language",0,$C28)</f>
        <v>0</v>
      </c>
      <c r="E28" s="56">
        <f>D28*Assumptions!$F$47/Assumptions!$F$42</f>
        <v>0</v>
      </c>
      <c r="F28" t="s">
        <v>299</v>
      </c>
    </row>
    <row r="29" spans="1:8" x14ac:dyDescent="0.3">
      <c r="C29" s="56"/>
      <c r="D29" s="56"/>
      <c r="E29" s="56"/>
    </row>
    <row r="30" spans="1:8" x14ac:dyDescent="0.3">
      <c r="A30" s="13" t="s">
        <v>307</v>
      </c>
      <c r="C30" s="56"/>
      <c r="D30" s="56"/>
      <c r="E30" s="56"/>
    </row>
    <row r="31" spans="1:8" x14ac:dyDescent="0.3">
      <c r="A31" s="13"/>
      <c r="B31" t="s">
        <v>308</v>
      </c>
      <c r="C31" s="56">
        <f>'Unit Costs'!$G$10</f>
        <v>150000</v>
      </c>
      <c r="D31" s="56">
        <f>IF(Assumptions!$F$13="Yes",$C31,0)</f>
        <v>0</v>
      </c>
      <c r="E31" s="56">
        <f>D31</f>
        <v>0</v>
      </c>
      <c r="F31" t="s">
        <v>299</v>
      </c>
    </row>
    <row r="33" spans="1:6" x14ac:dyDescent="0.3">
      <c r="A33" s="13" t="s">
        <v>309</v>
      </c>
      <c r="C33" s="56"/>
      <c r="D33" s="56"/>
      <c r="E33" s="56"/>
    </row>
    <row r="34" spans="1:6" x14ac:dyDescent="0.3">
      <c r="A34" s="13"/>
      <c r="B34" t="s">
        <v>310</v>
      </c>
      <c r="C34" s="56">
        <f>'Unit Costs'!$G$13</f>
        <v>1505</v>
      </c>
      <c r="D34" s="56">
        <f>C34</f>
        <v>1505</v>
      </c>
      <c r="E34" s="56">
        <f>D34/Assumptions!$F$50</f>
        <v>752.5</v>
      </c>
      <c r="F34" t="s">
        <v>311</v>
      </c>
    </row>
    <row r="35" spans="1:6" x14ac:dyDescent="0.3">
      <c r="B35" t="s">
        <v>312</v>
      </c>
      <c r="C35" s="56">
        <f>'Unit Costs'!$G$16</f>
        <v>811</v>
      </c>
      <c r="D35" s="56">
        <f>IF(Assumptions!$F$10="Home Language",0,$C35)</f>
        <v>0</v>
      </c>
      <c r="E35" s="56">
        <f>D35/Assumptions!$F$50</f>
        <v>0</v>
      </c>
      <c r="F35" t="s">
        <v>311</v>
      </c>
    </row>
    <row r="36" spans="1:6" x14ac:dyDescent="0.3">
      <c r="C36" s="56"/>
      <c r="D36" s="56"/>
      <c r="E36" s="56"/>
    </row>
    <row r="37" spans="1:6" x14ac:dyDescent="0.3">
      <c r="A37" s="13" t="s">
        <v>313</v>
      </c>
      <c r="C37" s="56"/>
      <c r="D37" s="56"/>
      <c r="E37" s="56"/>
    </row>
    <row r="38" spans="1:6" x14ac:dyDescent="0.3">
      <c r="A38" s="13"/>
      <c r="B38" t="s">
        <v>314</v>
      </c>
      <c r="C38" s="56">
        <f>'Unit Costs'!$G$12</f>
        <v>615</v>
      </c>
      <c r="D38" s="56">
        <f>IF(Assumptions!$F$13="Yes",0,$C38)</f>
        <v>615</v>
      </c>
      <c r="E38" s="56">
        <f>D38/Assumptions!$F$50</f>
        <v>307.5</v>
      </c>
      <c r="F38" t="s">
        <v>311</v>
      </c>
    </row>
    <row r="39" spans="1:6" x14ac:dyDescent="0.3">
      <c r="B39" t="s">
        <v>315</v>
      </c>
      <c r="C39" s="56">
        <f>'Unit Costs'!$G$15</f>
        <v>331</v>
      </c>
      <c r="D39" s="56">
        <f>IF(OR(Assumptions!$F$13="Yes", Assumptions!$F$10="Home Language"),0,$C39)</f>
        <v>0</v>
      </c>
      <c r="E39" s="56">
        <f>D39/Assumptions!$F$50</f>
        <v>0</v>
      </c>
      <c r="F39" t="s">
        <v>311</v>
      </c>
    </row>
    <row r="40" spans="1:6" x14ac:dyDescent="0.3">
      <c r="C40" s="56"/>
      <c r="D40" s="56"/>
      <c r="E40" s="56"/>
    </row>
    <row r="41" spans="1:6" x14ac:dyDescent="0.3">
      <c r="A41" s="13" t="s">
        <v>316</v>
      </c>
      <c r="C41" s="56"/>
      <c r="D41" s="56"/>
      <c r="E41" s="56"/>
    </row>
    <row r="42" spans="1:6" x14ac:dyDescent="0.3">
      <c r="A42" s="13"/>
      <c r="B42" t="s">
        <v>199</v>
      </c>
      <c r="C42" s="56">
        <f>'Unit Costs'!$G$18</f>
        <v>2839</v>
      </c>
      <c r="D42" s="56">
        <f>IF(Assumptions!$F$13="Yes",$C42,0)</f>
        <v>0</v>
      </c>
      <c r="E42" s="56">
        <f>D42/Assumptions!$F$50</f>
        <v>0</v>
      </c>
      <c r="F42" t="s">
        <v>311</v>
      </c>
    </row>
    <row r="43" spans="1:6" x14ac:dyDescent="0.3">
      <c r="B43" t="s">
        <v>203</v>
      </c>
      <c r="C43" s="56">
        <f>'Unit Costs'!$G$19</f>
        <v>900</v>
      </c>
      <c r="D43" s="56">
        <f>IF(Assumptions!$F$13="Yes",$C43,0)</f>
        <v>0</v>
      </c>
      <c r="E43" s="56">
        <f>D43</f>
        <v>0</v>
      </c>
      <c r="F43" t="s">
        <v>311</v>
      </c>
    </row>
    <row r="45" spans="1:6" x14ac:dyDescent="0.3">
      <c r="A45" s="13" t="s">
        <v>16</v>
      </c>
      <c r="C45" s="56"/>
      <c r="D45" s="56"/>
      <c r="E45" s="56"/>
    </row>
    <row r="46" spans="1:6" x14ac:dyDescent="0.3">
      <c r="A46" s="13"/>
      <c r="B46" t="s">
        <v>317</v>
      </c>
      <c r="C46" s="56">
        <f>'Unit Costs'!$G$37*(Assumptions!$F$55*Assumptions!$F$56)</f>
        <v>826</v>
      </c>
      <c r="D46" s="56">
        <f t="shared" ref="D46:E50" si="0">C46</f>
        <v>826</v>
      </c>
      <c r="E46" s="56">
        <f t="shared" si="0"/>
        <v>826</v>
      </c>
      <c r="F46" t="s">
        <v>311</v>
      </c>
    </row>
    <row r="47" spans="1:6" x14ac:dyDescent="0.3">
      <c r="A47" s="13"/>
      <c r="B47" t="s">
        <v>318</v>
      </c>
      <c r="C47" s="56">
        <f>(Assumptions!$F$55-1)*Assumptions!$F$56*'Unit Costs'!$G$34</f>
        <v>1440</v>
      </c>
      <c r="D47" s="56">
        <f>C47</f>
        <v>1440</v>
      </c>
      <c r="E47" s="56">
        <f>D47</f>
        <v>1440</v>
      </c>
      <c r="F47" t="s">
        <v>311</v>
      </c>
    </row>
    <row r="48" spans="1:6" x14ac:dyDescent="0.3">
      <c r="B48" t="s">
        <v>319</v>
      </c>
      <c r="C48" s="56">
        <f>'Unit Costs'!$G$37*(Assumptions!$F$57*Assumptions!$F$58)</f>
        <v>1239</v>
      </c>
      <c r="D48" s="56">
        <f t="shared" si="0"/>
        <v>1239</v>
      </c>
      <c r="E48" s="56">
        <f t="shared" si="0"/>
        <v>1239</v>
      </c>
      <c r="F48" t="s">
        <v>311</v>
      </c>
    </row>
    <row r="49" spans="1:9" x14ac:dyDescent="0.3">
      <c r="B49" t="s">
        <v>320</v>
      </c>
      <c r="C49" s="56">
        <f>(Assumptions!$F$57-1)*Assumptions!$F$58*'Unit Costs'!$G$34</f>
        <v>0</v>
      </c>
      <c r="D49" s="56">
        <f>C49</f>
        <v>0</v>
      </c>
      <c r="E49" s="56">
        <f>D49</f>
        <v>0</v>
      </c>
      <c r="F49" t="s">
        <v>311</v>
      </c>
    </row>
    <row r="50" spans="1:9" x14ac:dyDescent="0.3">
      <c r="B50" t="s">
        <v>321</v>
      </c>
      <c r="C50" s="56">
        <f>'Unit Costs'!$G$38*Assumptions!$F$59*Assumptions!$F$60</f>
        <v>0</v>
      </c>
      <c r="D50" s="56">
        <f t="shared" si="0"/>
        <v>0</v>
      </c>
      <c r="E50" s="56">
        <f t="shared" si="0"/>
        <v>0</v>
      </c>
      <c r="F50" t="s">
        <v>311</v>
      </c>
    </row>
    <row r="51" spans="1:9" x14ac:dyDescent="0.3">
      <c r="B51" s="149" t="s">
        <v>322</v>
      </c>
      <c r="C51" s="56">
        <f>'Unit Costs'!$G$31*ROUNDUP($B$3/Assumptions!$F$53,0)*(Assumptions!$F$55*Assumptions!$F$56+Assumptions!$F$57*Assumptions!$F$58)/$B$3</f>
        <v>387.2</v>
      </c>
      <c r="D51" s="56">
        <f>IF(Assumptions!$F$11 = "Yes", C51*Assumptions!$F$54, C51)</f>
        <v>96.8</v>
      </c>
      <c r="E51" s="56">
        <f>D51</f>
        <v>96.8</v>
      </c>
      <c r="F51" t="s">
        <v>311</v>
      </c>
      <c r="G51" t="s">
        <v>323</v>
      </c>
    </row>
    <row r="53" spans="1:9" ht="18" x14ac:dyDescent="0.35">
      <c r="A53" s="58" t="s">
        <v>324</v>
      </c>
      <c r="B53" s="58"/>
      <c r="C53" s="58"/>
      <c r="D53" s="58"/>
      <c r="E53" s="58"/>
      <c r="F53" s="58"/>
      <c r="G53" s="58"/>
      <c r="H53" s="58"/>
      <c r="I53" s="58"/>
    </row>
    <row r="54" spans="1:9" ht="15.6" x14ac:dyDescent="0.3">
      <c r="A54" s="13" t="s">
        <v>325</v>
      </c>
      <c r="B54" s="13"/>
      <c r="C54" s="13"/>
      <c r="D54" s="13"/>
      <c r="E54" s="13"/>
      <c r="F54" s="13"/>
      <c r="H54" s="60"/>
    </row>
    <row r="55" spans="1:9" x14ac:dyDescent="0.3">
      <c r="A55" s="68" t="s">
        <v>326</v>
      </c>
      <c r="B55" t="s">
        <v>327</v>
      </c>
      <c r="C55" s="56">
        <f>'Unit Costs'!$G$21*'Unit Costs'!$E$21</f>
        <v>61950.119999999995</v>
      </c>
      <c r="D55" s="56">
        <f>IF(AND(Assumptions!$F$11="Yes",OR(Assumptions!$F$12=Lists!$AB$2,Assumptions!$F$12=Lists!$AB$3)), C55, 0)</f>
        <v>0</v>
      </c>
      <c r="E55" s="56">
        <f>D55/Assumptions!$F$66</f>
        <v>0</v>
      </c>
      <c r="F55" t="s">
        <v>573</v>
      </c>
      <c r="H55" s="59"/>
    </row>
    <row r="56" spans="1:9" x14ac:dyDescent="0.3">
      <c r="A56" s="68"/>
      <c r="B56" t="s">
        <v>329</v>
      </c>
      <c r="C56" s="56">
        <f>'Unit Costs'!$G$44</f>
        <v>7744</v>
      </c>
      <c r="D56" s="56">
        <f>IF(AND(Assumptions!$F$11="Yes",OR(Assumptions!$F$12=Lists!$AB$2,Assumptions!$F$12=Lists!$AB$3)), C56, 0)</f>
        <v>0</v>
      </c>
      <c r="E56" s="56">
        <f>D56/Assumptions!$F$67</f>
        <v>0</v>
      </c>
      <c r="F56" t="s">
        <v>573</v>
      </c>
    </row>
    <row r="57" spans="1:9" x14ac:dyDescent="0.3">
      <c r="A57" s="68"/>
      <c r="B57" t="s">
        <v>330</v>
      </c>
      <c r="C57" s="56">
        <f>'Unit Costs'!$G$24</f>
        <v>38719</v>
      </c>
      <c r="D57" s="56">
        <f>IF(AND(Assumptions!$F$11="Yes",OR(Assumptions!$F$12=Lists!$AB$2,Assumptions!$F$12=Lists!$AB$3)), C57, 0)</f>
        <v>0</v>
      </c>
      <c r="E57" s="56">
        <f>D57/Assumptions!$F$66</f>
        <v>0</v>
      </c>
      <c r="F57" t="s">
        <v>573</v>
      </c>
    </row>
    <row r="58" spans="1:9" x14ac:dyDescent="0.3">
      <c r="A58" s="68"/>
      <c r="B58" t="s">
        <v>331</v>
      </c>
      <c r="C58" s="56">
        <f>Assumptions!$F$69*'Unit Costs'!$G$26</f>
        <v>3225</v>
      </c>
      <c r="D58" s="56">
        <f>IF(AND(Assumptions!$F$11="Yes",OR(Assumptions!$F$12=Lists!$AB$2,Assumptions!$F$12=Lists!$AB$3)), C58, 0)</f>
        <v>0</v>
      </c>
      <c r="E58" s="56">
        <f>D58/Assumptions!$F$66</f>
        <v>0</v>
      </c>
      <c r="F58" t="s">
        <v>573</v>
      </c>
    </row>
    <row r="59" spans="1:9" x14ac:dyDescent="0.3">
      <c r="A59" s="68"/>
      <c r="B59" t="s">
        <v>332</v>
      </c>
      <c r="C59" s="56">
        <f>(Assumptions!$F$69-1)*'Unit Costs'!$G$27</f>
        <v>5760</v>
      </c>
      <c r="D59" s="56">
        <f>IF(AND(Assumptions!$F$11="Yes",OR(Assumptions!$F$12=Lists!$AB$2,Assumptions!$F$12=Lists!$AB$3)), C59, 0)</f>
        <v>0</v>
      </c>
      <c r="E59" s="56">
        <f>D59/Assumptions!$F$66</f>
        <v>0</v>
      </c>
      <c r="F59" t="s">
        <v>573</v>
      </c>
    </row>
    <row r="60" spans="1:9" x14ac:dyDescent="0.3">
      <c r="A60" s="68"/>
      <c r="B60" s="149" t="s">
        <v>555</v>
      </c>
      <c r="C60" s="56">
        <f>'Unit Costs'!$G$32*ROUNDUP($B$6/Assumptions!$F$64,0)*Assumptions!C$69/($B$6)</f>
        <v>1628.6142857142856</v>
      </c>
      <c r="D60" s="56">
        <f>IF(AND(Assumptions!$F$11="Yes",OR(Assumptions!$F$12=Lists!$AB$2,Assumptions!$F$12=Lists!$AB$3)), C60, 0)*Assumptions!$G$65</f>
        <v>0</v>
      </c>
      <c r="E60" s="56">
        <f>D60/Assumptions!$F$66</f>
        <v>0</v>
      </c>
      <c r="F60" t="s">
        <v>573</v>
      </c>
    </row>
    <row r="61" spans="1:9" x14ac:dyDescent="0.3">
      <c r="A61" s="68"/>
    </row>
    <row r="62" spans="1:9" x14ac:dyDescent="0.3">
      <c r="A62" s="68" t="s">
        <v>334</v>
      </c>
      <c r="B62" t="s">
        <v>571</v>
      </c>
      <c r="C62" s="56">
        <f>'Unit Costs'!$G$29</f>
        <v>516251</v>
      </c>
      <c r="D62" s="56">
        <f>IF(AND(Assumptions!$F$11="Yes",OR(Assumptions!$F$12=Lists!$AB$2,Assumptions!$F$12=Lists!$AB$3)), C62, 0)</f>
        <v>0</v>
      </c>
      <c r="E62" s="56">
        <f t="shared" ref="E62:E67" si="1">D62</f>
        <v>0</v>
      </c>
      <c r="F62" t="s">
        <v>573</v>
      </c>
    </row>
    <row r="63" spans="1:9" x14ac:dyDescent="0.3">
      <c r="A63" s="68"/>
      <c r="B63" t="s">
        <v>336</v>
      </c>
      <c r="C63" s="56">
        <f>'Unit Costs'!$G$30*$B$7/$B$6</f>
        <v>31270.050476190478</v>
      </c>
      <c r="D63" s="56">
        <f>IF(AND(Assumptions!$F$11="Yes",OR(Assumptions!$F$12=Lists!$AB$2,Assumptions!$F$12=Lists!$AB$3)), C63, 0)</f>
        <v>0</v>
      </c>
      <c r="E63" s="56">
        <f t="shared" si="1"/>
        <v>0</v>
      </c>
      <c r="F63" t="s">
        <v>573</v>
      </c>
    </row>
    <row r="64" spans="1:9" x14ac:dyDescent="0.3">
      <c r="A64" s="68"/>
      <c r="B64" t="s">
        <v>337</v>
      </c>
      <c r="C64" s="56">
        <f>'Unit Costs'!$G$40</f>
        <v>4337</v>
      </c>
      <c r="D64" s="56">
        <f>IF(AND(Assumptions!$F$11="Yes",OR(Assumptions!$F$12=Lists!$AB$2,Assumptions!$F$12=Lists!$AB$3)), C64, 0)</f>
        <v>0</v>
      </c>
      <c r="E64" s="56">
        <f t="shared" si="1"/>
        <v>0</v>
      </c>
      <c r="F64" t="s">
        <v>573</v>
      </c>
    </row>
    <row r="65" spans="1:8" x14ac:dyDescent="0.3">
      <c r="A65" s="68"/>
      <c r="B65" t="s">
        <v>338</v>
      </c>
      <c r="C65" s="56">
        <f>4*(Assumptions!$F$70*'Unit Costs'!$G$26)</f>
        <v>5160</v>
      </c>
      <c r="D65" s="56">
        <f>IF(AND(Assumptions!$F$11="Yes",OR(Assumptions!$F$12=Lists!$AB$2,Assumptions!$F$12=Lists!$AB$3)), C65, 0)</f>
        <v>0</v>
      </c>
      <c r="E65" s="56">
        <f t="shared" si="1"/>
        <v>0</v>
      </c>
      <c r="F65" t="s">
        <v>573</v>
      </c>
    </row>
    <row r="66" spans="1:8" x14ac:dyDescent="0.3">
      <c r="A66" s="68"/>
      <c r="B66" t="s">
        <v>339</v>
      </c>
      <c r="C66" s="56">
        <f>4*((Assumptions!$F$70-1)*'Unit Costs'!$G$27)</f>
        <v>5760</v>
      </c>
      <c r="D66" s="56">
        <f>IF(AND(Assumptions!$F$11="Yes",OR(Assumptions!$F$12=Lists!$AB$2,Assumptions!$F$12=Lists!$AB$3)), C66, 0)</f>
        <v>0</v>
      </c>
      <c r="E66" s="56">
        <f t="shared" si="1"/>
        <v>0</v>
      </c>
      <c r="F66" t="s">
        <v>573</v>
      </c>
    </row>
    <row r="67" spans="1:8" x14ac:dyDescent="0.3">
      <c r="A67" s="68"/>
      <c r="B67" s="149" t="s">
        <v>556</v>
      </c>
      <c r="C67" s="56">
        <f>4*'Unit Costs'!$G$32*ROUNDUP($B$6/Assumptions!$F$64,0)*Assumptions!$F$70/($B$6)</f>
        <v>2605.7828571428572</v>
      </c>
      <c r="D67" s="56">
        <f>IF(AND(Assumptions!$F$11="Yes",OR(Assumptions!$F$12=Lists!$AB$2,Assumptions!$F$12=Lists!$AB$3)), C67, 0)*Assumptions!$G$65</f>
        <v>0</v>
      </c>
      <c r="E67" s="56">
        <f t="shared" si="1"/>
        <v>0</v>
      </c>
      <c r="F67" t="s">
        <v>573</v>
      </c>
    </row>
    <row r="68" spans="1:8" x14ac:dyDescent="0.3">
      <c r="A68" s="68"/>
    </row>
    <row r="69" spans="1:8" x14ac:dyDescent="0.3">
      <c r="A69" s="68" t="s">
        <v>341</v>
      </c>
      <c r="B69" s="63" t="s">
        <v>342</v>
      </c>
      <c r="C69" s="64">
        <f>'Unit Costs'!$G$41</f>
        <v>69694</v>
      </c>
      <c r="D69" s="64">
        <f>IF(AND(Assumptions!$F$11="Yes",Assumptions!$F$12=Lists!$AB$2), C69, 0)</f>
        <v>0</v>
      </c>
      <c r="E69" s="64">
        <f>D69</f>
        <v>0</v>
      </c>
      <c r="F69" t="s">
        <v>573</v>
      </c>
      <c r="G69" t="s">
        <v>343</v>
      </c>
    </row>
    <row r="70" spans="1:8" x14ac:dyDescent="0.3">
      <c r="A70" s="68"/>
      <c r="B70" s="63" t="s">
        <v>557</v>
      </c>
      <c r="C70" s="64">
        <f>'Unit Costs'!$G$42</f>
        <v>30975</v>
      </c>
      <c r="D70" s="64">
        <f>IF(AND(Assumptions!$F$11="Yes",Assumptions!$F$12=Lists!$AB$2), C70, 0)</f>
        <v>0</v>
      </c>
      <c r="E70" s="64">
        <f>D70</f>
        <v>0</v>
      </c>
      <c r="F70" t="s">
        <v>573</v>
      </c>
    </row>
    <row r="71" spans="1:8" x14ac:dyDescent="0.3">
      <c r="A71" s="68"/>
      <c r="C71" s="56"/>
      <c r="D71" s="56"/>
      <c r="E71" s="56"/>
    </row>
    <row r="72" spans="1:8" x14ac:dyDescent="0.3">
      <c r="A72" s="68" t="s">
        <v>345</v>
      </c>
      <c r="B72" t="s">
        <v>346</v>
      </c>
      <c r="C72" s="56">
        <f>'Unit Costs'!$G$43</f>
        <v>10067</v>
      </c>
      <c r="D72" s="56">
        <f>IF(AND(Assumptions!$F$11="Yes",Assumptions!$F$12=Lists!$AB$3),C72,0)</f>
        <v>0</v>
      </c>
      <c r="E72" s="56">
        <f>D72</f>
        <v>0</v>
      </c>
      <c r="F72" t="s">
        <v>573</v>
      </c>
    </row>
    <row r="73" spans="1:8" x14ac:dyDescent="0.3">
      <c r="A73" s="68"/>
      <c r="C73" s="56"/>
      <c r="D73" s="56"/>
      <c r="E73" s="56"/>
    </row>
    <row r="74" spans="1:8" x14ac:dyDescent="0.3">
      <c r="A74" s="68"/>
    </row>
    <row r="75" spans="1:8" ht="15.6" x14ac:dyDescent="0.3">
      <c r="A75" s="13" t="s">
        <v>347</v>
      </c>
      <c r="B75" s="13"/>
      <c r="C75" s="13"/>
      <c r="D75" s="13"/>
      <c r="E75" s="13"/>
      <c r="F75" s="13"/>
      <c r="H75" s="60"/>
    </row>
    <row r="76" spans="1:8" x14ac:dyDescent="0.3">
      <c r="A76" s="68" t="s">
        <v>326</v>
      </c>
      <c r="B76" t="s">
        <v>348</v>
      </c>
      <c r="C76" s="56">
        <f>'Unit Costs'!$G$21*'Unit Costs'!$E$21</f>
        <v>61950.119999999995</v>
      </c>
      <c r="D76" s="56">
        <f>IF(AND(Assumptions!$F$11="Yes",Assumptions!$F$12=Lists!$AB$4), C76, 0)</f>
        <v>61950.119999999995</v>
      </c>
      <c r="E76" s="56">
        <f>D76/Assumptions!$F$75</f>
        <v>12390.023999999999</v>
      </c>
      <c r="F76" t="s">
        <v>574</v>
      </c>
      <c r="H76" s="59"/>
    </row>
    <row r="77" spans="1:8" x14ac:dyDescent="0.3">
      <c r="A77" s="68"/>
      <c r="B77" t="s">
        <v>350</v>
      </c>
      <c r="C77" s="56">
        <f>'Unit Costs'!$G$44</f>
        <v>7744</v>
      </c>
      <c r="D77" s="56">
        <f>IF(AND(Assumptions!$F$11="Yes",Assumptions!$F$12=Lists!$AB$4), C77, 0)</f>
        <v>7744</v>
      </c>
      <c r="E77" s="56">
        <f>D77/Assumptions!$F$76</f>
        <v>1548.8</v>
      </c>
      <c r="F77" t="s">
        <v>574</v>
      </c>
    </row>
    <row r="78" spans="1:8" x14ac:dyDescent="0.3">
      <c r="A78" s="68"/>
      <c r="B78" t="s">
        <v>330</v>
      </c>
      <c r="C78" s="56">
        <f>'Unit Costs'!$G$24</f>
        <v>38719</v>
      </c>
      <c r="D78" s="56">
        <f>IF(AND(Assumptions!$F$11="Yes",Assumptions!$F$12=Lists!$AB$4), C78, 0)</f>
        <v>38719</v>
      </c>
      <c r="E78" s="56">
        <f>D78/Assumptions!$F$75</f>
        <v>7743.8</v>
      </c>
      <c r="F78" t="s">
        <v>574</v>
      </c>
    </row>
    <row r="79" spans="1:8" x14ac:dyDescent="0.3">
      <c r="A79" s="68"/>
      <c r="B79" t="s">
        <v>351</v>
      </c>
      <c r="C79" s="56">
        <f>Assumptions!$F$69*'Unit Costs'!$G$26</f>
        <v>3225</v>
      </c>
      <c r="D79" s="56">
        <f>IF(AND(Assumptions!$F$11="Yes",Assumptions!$F$12=Lists!$AB$4), C79, 0)</f>
        <v>3225</v>
      </c>
      <c r="E79" s="56">
        <f>D79/Assumptions!$F$75</f>
        <v>645</v>
      </c>
      <c r="F79" t="s">
        <v>574</v>
      </c>
    </row>
    <row r="80" spans="1:8" x14ac:dyDescent="0.3">
      <c r="A80" s="68"/>
      <c r="B80" t="s">
        <v>352</v>
      </c>
      <c r="C80" s="56">
        <f>(Assumptions!$F$69-1)*'Unit Costs'!$G$27</f>
        <v>5760</v>
      </c>
      <c r="D80" s="56">
        <f>IF(AND(Assumptions!$F$11="Yes",Assumptions!$F$12=Lists!$AB$4), C80, 0)</f>
        <v>5760</v>
      </c>
      <c r="E80" s="56">
        <f>D80/Assumptions!$F$75</f>
        <v>1152</v>
      </c>
      <c r="F80" t="s">
        <v>574</v>
      </c>
    </row>
    <row r="81" spans="1:6" x14ac:dyDescent="0.3">
      <c r="A81" s="68"/>
      <c r="B81" s="149" t="s">
        <v>353</v>
      </c>
      <c r="C81" s="56">
        <f>'Unit Costs'!$G$32*ROUNDUP($B$9/Assumptions!$F$74,0)*Assumptions!$F$80*Assumptions!$F$81/($B$9)</f>
        <v>663.73714285714289</v>
      </c>
      <c r="D81" s="56">
        <f>IF(AND(Assumptions!$F$11="Yes",Assumptions!$F$12=Lists!$AB$4), C81, 0)*Assumptions!$G$79</f>
        <v>0</v>
      </c>
      <c r="E81" s="56">
        <f>D81/Assumptions!$F$75</f>
        <v>0</v>
      </c>
      <c r="F81" t="s">
        <v>574</v>
      </c>
    </row>
    <row r="82" spans="1:6" x14ac:dyDescent="0.3">
      <c r="A82" s="68"/>
    </row>
    <row r="83" spans="1:6" x14ac:dyDescent="0.3">
      <c r="A83" s="68" t="s">
        <v>354</v>
      </c>
      <c r="B83" t="s">
        <v>355</v>
      </c>
      <c r="C83" s="56">
        <f>'Unit Costs'!$G$29</f>
        <v>516251</v>
      </c>
      <c r="D83" s="56">
        <f>IF(AND(Assumptions!$F$11="Yes",Assumptions!$F$12=Lists!$AB$4), C83, 0)</f>
        <v>516251</v>
      </c>
      <c r="E83" s="56">
        <f t="shared" ref="E83:E88" si="2">D83</f>
        <v>516251</v>
      </c>
      <c r="F83" t="s">
        <v>574</v>
      </c>
    </row>
    <row r="84" spans="1:6" x14ac:dyDescent="0.3">
      <c r="A84" s="68"/>
      <c r="B84" t="s">
        <v>356</v>
      </c>
      <c r="C84" s="56">
        <f>'Unit Costs'!$G$30*$B$11/$B$10</f>
        <v>68833.444444444438</v>
      </c>
      <c r="D84" s="56">
        <f>IF(AND(Assumptions!$F$11="Yes",Assumptions!$F$12=Lists!$AB$4), C84, 0)</f>
        <v>68833.444444444438</v>
      </c>
      <c r="E84" s="56">
        <f t="shared" si="2"/>
        <v>68833.444444444438</v>
      </c>
      <c r="F84" t="s">
        <v>574</v>
      </c>
    </row>
    <row r="85" spans="1:6" x14ac:dyDescent="0.3">
      <c r="A85" s="68"/>
      <c r="B85" t="s">
        <v>337</v>
      </c>
      <c r="C85" s="56">
        <f>'Unit Costs'!$G$40</f>
        <v>4337</v>
      </c>
      <c r="D85" s="56">
        <f>IF(AND(Assumptions!$F$11="Yes",Assumptions!$F$12=Lists!$AB$4), C85, 0)</f>
        <v>4337</v>
      </c>
      <c r="E85" s="56">
        <f t="shared" si="2"/>
        <v>4337</v>
      </c>
      <c r="F85" t="s">
        <v>574</v>
      </c>
    </row>
    <row r="86" spans="1:6" x14ac:dyDescent="0.3">
      <c r="A86" s="68"/>
      <c r="B86" t="s">
        <v>357</v>
      </c>
      <c r="C86" s="56">
        <f>4*(Assumptions!$F$70*'Unit Costs'!$G$26)</f>
        <v>5160</v>
      </c>
      <c r="D86" s="56">
        <f>IF(AND(Assumptions!$F$11="Yes",Assumptions!$F$12=Lists!$AB$4), C86, 0)</f>
        <v>5160</v>
      </c>
      <c r="E86" s="56">
        <f t="shared" si="2"/>
        <v>5160</v>
      </c>
      <c r="F86" t="s">
        <v>574</v>
      </c>
    </row>
    <row r="87" spans="1:6" x14ac:dyDescent="0.3">
      <c r="A87" s="68"/>
      <c r="B87" t="s">
        <v>358</v>
      </c>
      <c r="C87" s="56">
        <f>4*((Assumptions!$F$70-1)*'Unit Costs'!$G$27)</f>
        <v>5760</v>
      </c>
      <c r="D87" s="56">
        <f>IF(AND(Assumptions!$F$11="Yes",Assumptions!$F$12=Lists!$AB$4), C87, 0)</f>
        <v>5760</v>
      </c>
      <c r="E87" s="56">
        <f t="shared" si="2"/>
        <v>5760</v>
      </c>
      <c r="F87" t="s">
        <v>574</v>
      </c>
    </row>
    <row r="88" spans="1:6" x14ac:dyDescent="0.3">
      <c r="A88" s="68"/>
      <c r="B88" s="149" t="s">
        <v>359</v>
      </c>
      <c r="C88" s="56">
        <f>'Unit Costs'!$G$32*ROUNDUP($B$9/Assumptions!$F$74,0)*Assumptions!$F$82*Assumptions!$F$83/($B$9)</f>
        <v>995.60571428571427</v>
      </c>
      <c r="D88" s="56">
        <f>IF(AND(Assumptions!$F$11="Yes",Assumptions!$F$12=Lists!$AB$4), C88, 0)*Assumptions!$G$79</f>
        <v>0</v>
      </c>
      <c r="E88" s="56">
        <f t="shared" si="2"/>
        <v>0</v>
      </c>
      <c r="F88" t="s">
        <v>574</v>
      </c>
    </row>
    <row r="89" spans="1:6" x14ac:dyDescent="0.3">
      <c r="A89" s="68"/>
    </row>
    <row r="90" spans="1:6" x14ac:dyDescent="0.3">
      <c r="A90" s="68" t="s">
        <v>360</v>
      </c>
      <c r="B90" s="63" t="s">
        <v>361</v>
      </c>
      <c r="C90" s="64">
        <f>'Unit Costs'!$G$41</f>
        <v>69694</v>
      </c>
      <c r="D90" s="56">
        <f>IF(AND(Assumptions!$F$11="Yes",Assumptions!$F$12=Lists!$AB$4), C90, 0)</f>
        <v>69694</v>
      </c>
      <c r="E90" s="64">
        <f>D90</f>
        <v>69694</v>
      </c>
      <c r="F90" t="s">
        <v>574</v>
      </c>
    </row>
    <row r="91" spans="1:6" x14ac:dyDescent="0.3">
      <c r="A91" s="68"/>
      <c r="B91" s="63" t="s">
        <v>557</v>
      </c>
      <c r="C91" s="64">
        <f>'Unit Costs'!$G$42</f>
        <v>30975</v>
      </c>
      <c r="D91" s="56">
        <f>IF(AND(Assumptions!$F$11="Yes",Assumptions!$F$12=Lists!$AB$4), C91, 0)</f>
        <v>30975</v>
      </c>
      <c r="E91" s="64">
        <f>D91</f>
        <v>30975</v>
      </c>
      <c r="F91" t="s">
        <v>574</v>
      </c>
    </row>
    <row r="92" spans="1:6" x14ac:dyDescent="0.3">
      <c r="A92" s="68"/>
      <c r="D92" s="56"/>
    </row>
    <row r="93" spans="1:6" x14ac:dyDescent="0.3">
      <c r="A93" s="68"/>
      <c r="D93" s="56"/>
    </row>
    <row r="94" spans="1:6" x14ac:dyDescent="0.3">
      <c r="A94" s="68" t="s">
        <v>362</v>
      </c>
      <c r="B94" t="s">
        <v>363</v>
      </c>
      <c r="C94" s="56">
        <f>(('Unit Costs'!$G$35+(Assumptions!$F$80-2)*'Unit Costs'!$G$36)*Assumptions!$F$81)*$B$9/$B$10</f>
        <v>44061.111111111109</v>
      </c>
      <c r="D94" s="56">
        <f>IF(AND(Assumptions!$F$11="Yes",Assumptions!$F$12=Lists!$AB$4),C94,0)</f>
        <v>44061.111111111109</v>
      </c>
      <c r="E94" s="56">
        <f>D94</f>
        <v>44061.111111111109</v>
      </c>
      <c r="F94" t="s">
        <v>574</v>
      </c>
    </row>
    <row r="95" spans="1:6" x14ac:dyDescent="0.3">
      <c r="A95" s="68"/>
      <c r="B95" t="s">
        <v>364</v>
      </c>
      <c r="C95" s="56">
        <f>(('Unit Costs'!$G$35+(Assumptions!$F$82-2)*'Unit Costs'!$G$36)*Assumptions!$F$83)*$B$9/$B$10</f>
        <v>24091.666666666668</v>
      </c>
      <c r="D95" s="56">
        <f>IF(AND(Assumptions!$F$11="Yes",Assumptions!$F$12=Lists!$AB$4),C95,0)</f>
        <v>24091.666666666668</v>
      </c>
      <c r="E95" s="56">
        <f>D95</f>
        <v>24091.666666666668</v>
      </c>
      <c r="F95" t="s">
        <v>574</v>
      </c>
    </row>
    <row r="96" spans="1:6" x14ac:dyDescent="0.3">
      <c r="A96" s="68"/>
      <c r="C96" s="56"/>
      <c r="D96" s="56"/>
      <c r="E96" s="56"/>
    </row>
    <row r="98" spans="1:9" ht="18" x14ac:dyDescent="0.35">
      <c r="A98" s="58" t="s">
        <v>365</v>
      </c>
      <c r="B98" s="58"/>
      <c r="C98" s="58"/>
      <c r="D98" s="58"/>
      <c r="E98" s="58"/>
      <c r="F98" s="58"/>
      <c r="G98" s="58"/>
      <c r="H98" s="58"/>
      <c r="I98" s="58"/>
    </row>
    <row r="99" spans="1:9" x14ac:dyDescent="0.3">
      <c r="A99" s="13" t="s">
        <v>14</v>
      </c>
      <c r="E99" s="56">
        <f>SUM(E15:$E$31)</f>
        <v>74599.333333333328</v>
      </c>
      <c r="F99" t="s">
        <v>299</v>
      </c>
    </row>
    <row r="100" spans="1:9" x14ac:dyDescent="0.3">
      <c r="E100" s="56">
        <f>E99/$B$6</f>
        <v>71.046984126984128</v>
      </c>
      <c r="F100" t="s">
        <v>366</v>
      </c>
    </row>
    <row r="101" spans="1:9" x14ac:dyDescent="0.3">
      <c r="E101" s="74">
        <f>E99/$B$3</f>
        <v>71.046984126984128</v>
      </c>
      <c r="F101" s="75" t="s">
        <v>311</v>
      </c>
    </row>
    <row r="103" spans="1:9" x14ac:dyDescent="0.3">
      <c r="A103" s="13" t="s">
        <v>15</v>
      </c>
      <c r="E103" s="74">
        <f>SUM($E$34:$E$43)</f>
        <v>1060</v>
      </c>
      <c r="F103" s="75" t="s">
        <v>311</v>
      </c>
    </row>
    <row r="104" spans="1:9" x14ac:dyDescent="0.3">
      <c r="E104" s="56"/>
    </row>
    <row r="105" spans="1:9" x14ac:dyDescent="0.3">
      <c r="A105" s="13" t="s">
        <v>16</v>
      </c>
      <c r="E105" s="74">
        <f>SUM($E$46:$E$51)</f>
        <v>3601.8</v>
      </c>
      <c r="F105" s="75" t="s">
        <v>311</v>
      </c>
    </row>
    <row r="107" spans="1:9" x14ac:dyDescent="0.3">
      <c r="A107" s="13" t="s">
        <v>17</v>
      </c>
      <c r="E107" s="56">
        <f>SUM($E$55:$E$72)</f>
        <v>0</v>
      </c>
      <c r="F107" t="s">
        <v>366</v>
      </c>
    </row>
    <row r="108" spans="1:9" x14ac:dyDescent="0.3">
      <c r="E108" s="74">
        <f>E107*$B$6/$B$3</f>
        <v>0</v>
      </c>
      <c r="F108" s="75" t="s">
        <v>311</v>
      </c>
    </row>
    <row r="109" spans="1:9" x14ac:dyDescent="0.3">
      <c r="E109" s="56"/>
    </row>
    <row r="110" spans="1:9" x14ac:dyDescent="0.3">
      <c r="A110" s="13" t="s">
        <v>18</v>
      </c>
      <c r="E110" s="56">
        <f>SUM($E$76:$E$96)</f>
        <v>792642.84622222208</v>
      </c>
      <c r="F110" t="s">
        <v>367</v>
      </c>
    </row>
    <row r="111" spans="1:9" x14ac:dyDescent="0.3">
      <c r="E111" s="74">
        <f>E110*$B$10/$B$3</f>
        <v>6794.0815390476173</v>
      </c>
      <c r="F111" s="75" t="s">
        <v>311</v>
      </c>
    </row>
    <row r="112" spans="1:9" x14ac:dyDescent="0.3">
      <c r="E112" s="56"/>
    </row>
    <row r="113" spans="1:8" x14ac:dyDescent="0.3">
      <c r="A113" s="13" t="s">
        <v>19</v>
      </c>
      <c r="E113" s="74">
        <f>SUM(E101,E103,E105,E108)*Assumptions!$F$22</f>
        <v>236.64234920634922</v>
      </c>
      <c r="F113" s="75" t="s">
        <v>311</v>
      </c>
    </row>
    <row r="115" spans="1:8" x14ac:dyDescent="0.3">
      <c r="A115" s="70" t="s">
        <v>368</v>
      </c>
      <c r="B115" s="55"/>
      <c r="C115" s="55"/>
      <c r="D115" s="55"/>
      <c r="E115" s="71">
        <f>SUM($E$101,$E$103,$E$105,$E$108,$E$111,$E$113)</f>
        <v>11763.570872380951</v>
      </c>
      <c r="F115" s="70" t="s">
        <v>311</v>
      </c>
      <c r="G115" s="56"/>
    </row>
    <row r="116" spans="1:8" x14ac:dyDescent="0.3">
      <c r="A116" s="69"/>
      <c r="B116" s="69"/>
      <c r="C116" s="69"/>
      <c r="D116" s="69"/>
      <c r="E116" s="72">
        <f>E115/Assumptions!$F$20</f>
        <v>336.10202492517004</v>
      </c>
      <c r="F116" s="73" t="s">
        <v>369</v>
      </c>
      <c r="G116" s="56"/>
    </row>
    <row r="117" spans="1:8" x14ac:dyDescent="0.3">
      <c r="A117" s="70" t="s">
        <v>370</v>
      </c>
      <c r="B117" s="55"/>
      <c r="C117" s="55"/>
      <c r="D117" s="55"/>
      <c r="E117" s="80">
        <f>E115/Assumptions!$F$23</f>
        <v>635.86869580437576</v>
      </c>
      <c r="F117" s="70" t="s">
        <v>311</v>
      </c>
      <c r="G117" s="56"/>
      <c r="H117" s="79"/>
    </row>
    <row r="118" spans="1:8" x14ac:dyDescent="0.3">
      <c r="A118" s="69"/>
      <c r="B118" s="69"/>
      <c r="C118" s="69"/>
      <c r="D118" s="69"/>
      <c r="E118" s="81">
        <f>E117/Assumptions!$F$20</f>
        <v>18.167677022982165</v>
      </c>
      <c r="F118" s="73" t="s">
        <v>369</v>
      </c>
      <c r="G118" s="56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FB3AF-D79A-41B1-AECC-95036827C47F}">
  <sheetPr>
    <tabColor rgb="FF00B050"/>
  </sheetPr>
  <dimension ref="A1:I118"/>
  <sheetViews>
    <sheetView topLeftCell="A19" zoomScale="88" workbookViewId="0">
      <selection activeCell="E43" sqref="E43"/>
    </sheetView>
  </sheetViews>
  <sheetFormatPr defaultRowHeight="14.4" x14ac:dyDescent="0.3"/>
  <cols>
    <col min="1" max="1" width="47" customWidth="1"/>
    <col min="2" max="2" width="60.6640625" bestFit="1" customWidth="1"/>
    <col min="3" max="3" width="22.33203125" customWidth="1"/>
    <col min="4" max="4" width="28.6640625" customWidth="1"/>
    <col min="5" max="5" width="27.6640625" customWidth="1"/>
    <col min="6" max="6" width="38.6640625" customWidth="1"/>
    <col min="7" max="7" width="9.33203125" bestFit="1" customWidth="1"/>
    <col min="8" max="8" width="34" customWidth="1"/>
    <col min="10" max="10" width="28.88671875" customWidth="1"/>
  </cols>
  <sheetData>
    <row r="1" spans="1:9" ht="18" x14ac:dyDescent="0.35">
      <c r="A1" s="58" t="s">
        <v>282</v>
      </c>
      <c r="B1" s="58"/>
      <c r="C1" s="58"/>
      <c r="D1" s="58"/>
      <c r="E1" s="58"/>
      <c r="F1" s="58"/>
      <c r="G1" s="58"/>
      <c r="H1" s="58"/>
      <c r="I1" s="58"/>
    </row>
    <row r="2" spans="1:9" ht="13.5" customHeight="1" x14ac:dyDescent="0.3">
      <c r="A2" t="s">
        <v>283</v>
      </c>
      <c r="B2" s="59">
        <f>Assumptions!$G$14</f>
        <v>175</v>
      </c>
      <c r="C2" s="13"/>
      <c r="D2" s="13"/>
    </row>
    <row r="3" spans="1:9" ht="13.5" customHeight="1" x14ac:dyDescent="0.3">
      <c r="A3" t="s">
        <v>284</v>
      </c>
      <c r="B3" s="59">
        <f>Assumptions!$G$14*Assumptions!$G$16</f>
        <v>1050</v>
      </c>
      <c r="C3" s="13"/>
      <c r="D3" s="13"/>
    </row>
    <row r="4" spans="1:9" ht="13.5" customHeight="1" x14ac:dyDescent="0.3">
      <c r="A4" t="s">
        <v>285</v>
      </c>
      <c r="B4" s="59">
        <f>$B$3*Assumptions!$G$20</f>
        <v>36750</v>
      </c>
      <c r="C4" s="13"/>
      <c r="D4" s="13"/>
      <c r="E4" s="59"/>
    </row>
    <row r="5" spans="1:9" ht="6.75" customHeight="1" x14ac:dyDescent="0.3">
      <c r="B5" s="59"/>
      <c r="C5" s="13"/>
      <c r="D5" s="13"/>
      <c r="E5" s="59"/>
    </row>
    <row r="6" spans="1:9" ht="13.5" customHeight="1" x14ac:dyDescent="0.3">
      <c r="A6" t="s">
        <v>286</v>
      </c>
      <c r="B6" s="59">
        <f>B3/Assumptions!$G$17</f>
        <v>17.5</v>
      </c>
      <c r="C6" s="13"/>
      <c r="D6" s="13"/>
      <c r="E6" s="59"/>
    </row>
    <row r="7" spans="1:9" ht="13.5" customHeight="1" x14ac:dyDescent="0.3">
      <c r="A7" t="s">
        <v>287</v>
      </c>
      <c r="B7" s="59">
        <f>ROUNDUP(B6/Assumptions!$G$64,0)</f>
        <v>1</v>
      </c>
      <c r="C7" s="13"/>
      <c r="D7" s="13"/>
    </row>
    <row r="8" spans="1:9" ht="6.75" customHeight="1" x14ac:dyDescent="0.3">
      <c r="B8" s="59"/>
      <c r="C8" s="13"/>
      <c r="D8" s="13"/>
    </row>
    <row r="9" spans="1:9" ht="13.5" customHeight="1" x14ac:dyDescent="0.3">
      <c r="A9" t="s">
        <v>288</v>
      </c>
      <c r="B9" s="59">
        <f>$B$2</f>
        <v>175</v>
      </c>
      <c r="C9" s="13"/>
      <c r="D9" s="13"/>
    </row>
    <row r="10" spans="1:9" ht="13.5" customHeight="1" x14ac:dyDescent="0.3">
      <c r="A10" t="s">
        <v>289</v>
      </c>
      <c r="B10" s="59">
        <f>ROUND($B$9/Assumptions!$G$18,0)</f>
        <v>175</v>
      </c>
    </row>
    <row r="11" spans="1:9" ht="13.5" customHeight="1" x14ac:dyDescent="0.3">
      <c r="A11" t="s">
        <v>290</v>
      </c>
      <c r="B11" s="59">
        <f>ROUNDUP($B$10/Assumptions!$G$74,0)</f>
        <v>9</v>
      </c>
    </row>
    <row r="12" spans="1:9" ht="6.75" customHeight="1" x14ac:dyDescent="0.3">
      <c r="B12" s="59"/>
    </row>
    <row r="13" spans="1:9" ht="18" x14ac:dyDescent="0.35">
      <c r="A13" s="58" t="s">
        <v>291</v>
      </c>
      <c r="B13" s="58"/>
      <c r="C13" s="58"/>
      <c r="D13" s="58"/>
      <c r="E13" s="58"/>
      <c r="F13" s="58"/>
      <c r="G13" s="58"/>
      <c r="H13" s="58"/>
      <c r="I13" s="58"/>
    </row>
    <row r="14" spans="1:9" s="13" customFormat="1" x14ac:dyDescent="0.3">
      <c r="A14" s="13" t="s">
        <v>292</v>
      </c>
      <c r="B14" s="13" t="s">
        <v>293</v>
      </c>
      <c r="C14" s="13" t="s">
        <v>294</v>
      </c>
      <c r="D14" s="13" t="s">
        <v>295</v>
      </c>
      <c r="E14" s="13" t="s">
        <v>296</v>
      </c>
      <c r="F14" s="13" t="s">
        <v>297</v>
      </c>
    </row>
    <row r="15" spans="1:9" x14ac:dyDescent="0.3">
      <c r="B15" t="s">
        <v>298</v>
      </c>
      <c r="C15" s="56">
        <f>'Unit Costs'!$G$3*Assumptions!$G$27</f>
        <v>77440</v>
      </c>
      <c r="D15" s="56">
        <f>C15</f>
        <v>77440</v>
      </c>
      <c r="E15" s="56">
        <f>D15/Assumptions!$G$31</f>
        <v>6453.333333333333</v>
      </c>
      <c r="F15" t="s">
        <v>299</v>
      </c>
      <c r="H15" s="57"/>
    </row>
    <row r="16" spans="1:9" x14ac:dyDescent="0.3">
      <c r="B16" t="s">
        <v>300</v>
      </c>
      <c r="C16" s="56">
        <f>('Unit Costs'!$G$4+'Unit Costs'!$G$5)*Assumptions!$G$29*Assumptions!$G$28</f>
        <v>135510</v>
      </c>
      <c r="D16" s="56">
        <f>C16</f>
        <v>135510</v>
      </c>
      <c r="E16" s="56">
        <f>D16/Assumptions!$G$31</f>
        <v>11292.5</v>
      </c>
      <c r="F16" t="s">
        <v>299</v>
      </c>
    </row>
    <row r="17" spans="1:8" ht="15" customHeight="1" x14ac:dyDescent="0.3">
      <c r="B17" t="s">
        <v>301</v>
      </c>
      <c r="C17" s="56">
        <f>(('Unit Costs'!$G$6*Assumptions!$G$28)+('Unit Costs'!$G$7))*Assumptions!$G$30</f>
        <v>54408</v>
      </c>
      <c r="D17" s="56">
        <f>C17</f>
        <v>54408</v>
      </c>
      <c r="E17" s="56">
        <f>D17/Assumptions!$G$31</f>
        <v>4534</v>
      </c>
      <c r="F17" t="s">
        <v>299</v>
      </c>
    </row>
    <row r="18" spans="1:8" x14ac:dyDescent="0.3">
      <c r="B18" t="s">
        <v>302</v>
      </c>
      <c r="C18" s="56">
        <f>'Unit Costs'!$G$3*Assumptions!$G$38</f>
        <v>19360</v>
      </c>
      <c r="D18" s="56">
        <f>IF(Assumptions!$G$10="Home Language",0,$C18)</f>
        <v>19360</v>
      </c>
      <c r="E18" s="56">
        <f>D18/Assumptions!$G$42</f>
        <v>1613.3333333333333</v>
      </c>
      <c r="F18" t="s">
        <v>299</v>
      </c>
    </row>
    <row r="19" spans="1:8" x14ac:dyDescent="0.3">
      <c r="B19" t="s">
        <v>303</v>
      </c>
      <c r="C19" s="56">
        <f>('Unit Costs'!$G$4+'Unit Costs'!$G$5)*Assumptions!$G$39*Assumptions!$G$40</f>
        <v>67755</v>
      </c>
      <c r="D19" s="56">
        <f>IF(Assumptions!$G$10="Home Language",0,$C19)</f>
        <v>67755</v>
      </c>
      <c r="E19" s="56">
        <f>D19/Assumptions!$G$42</f>
        <v>5646.25</v>
      </c>
      <c r="F19" t="s">
        <v>299</v>
      </c>
    </row>
    <row r="20" spans="1:8" x14ac:dyDescent="0.3">
      <c r="B20" t="s">
        <v>558</v>
      </c>
      <c r="C20" s="56">
        <f>(('Unit Costs'!$G$6*Assumptions!$G$39)+('Unit Costs'!$G$7))*Assumptions!$G$41</f>
        <v>45272</v>
      </c>
      <c r="D20" s="56">
        <f>IF(Assumptions!$G$10="Home Language",0,$C20)</f>
        <v>45272</v>
      </c>
      <c r="E20" s="56">
        <f>D20/Assumptions!$G$42</f>
        <v>3772.6666666666665</v>
      </c>
      <c r="F20" t="s">
        <v>299</v>
      </c>
    </row>
    <row r="21" spans="1:8" x14ac:dyDescent="0.3">
      <c r="C21" s="56"/>
      <c r="D21" s="56"/>
      <c r="E21" s="56"/>
    </row>
    <row r="22" spans="1:8" x14ac:dyDescent="0.3">
      <c r="A22" s="13" t="s">
        <v>304</v>
      </c>
      <c r="C22" s="56"/>
      <c r="D22" s="56"/>
      <c r="E22" s="56"/>
      <c r="H22" s="57"/>
    </row>
    <row r="23" spans="1:8" x14ac:dyDescent="0.3">
      <c r="A23" s="13"/>
      <c r="B23" t="s">
        <v>305</v>
      </c>
      <c r="C23" s="56">
        <f>'Unit Costs'!$G$3*Assumptions!$G$32</f>
        <v>19360</v>
      </c>
      <c r="D23" s="56">
        <f>C23</f>
        <v>19360</v>
      </c>
      <c r="E23" s="56">
        <f>D23*Assumptions!$G$36/Assumptions!$G$31</f>
        <v>4840</v>
      </c>
      <c r="F23" t="s">
        <v>299</v>
      </c>
      <c r="H23" s="57"/>
    </row>
    <row r="24" spans="1:8" x14ac:dyDescent="0.3">
      <c r="B24" t="s">
        <v>300</v>
      </c>
      <c r="C24" s="56">
        <f>('Unit Costs'!$G$4+'Unit Costs'!$G$5)*Assumptions!$G$34*Assumptions!$G$33</f>
        <v>135510</v>
      </c>
      <c r="D24" s="56">
        <f>C24</f>
        <v>135510</v>
      </c>
      <c r="E24" s="56">
        <f>D24*Assumptions!$G$36/Assumptions!$G$31</f>
        <v>33877.5</v>
      </c>
      <c r="F24" t="s">
        <v>299</v>
      </c>
    </row>
    <row r="25" spans="1:8" ht="15" customHeight="1" x14ac:dyDescent="0.3">
      <c r="B25" t="s">
        <v>301</v>
      </c>
      <c r="C25" s="56">
        <f>(('Unit Costs'!$G$6*Assumptions!$G$33)+('Unit Costs'!$G$7))*Assumptions!$G$35</f>
        <v>54408</v>
      </c>
      <c r="D25" s="56">
        <f>C25</f>
        <v>54408</v>
      </c>
      <c r="E25" s="56">
        <f>D25*Assumptions!$G$36/Assumptions!$G$31</f>
        <v>13602</v>
      </c>
      <c r="F25" t="s">
        <v>299</v>
      </c>
    </row>
    <row r="26" spans="1:8" x14ac:dyDescent="0.3">
      <c r="B26" t="s">
        <v>306</v>
      </c>
      <c r="C26" s="56">
        <f>'Unit Costs'!$G$3*Assumptions!$G$43</f>
        <v>7744</v>
      </c>
      <c r="D26" s="56">
        <f>IF(Assumptions!$G$10="Home Language",0,$C26)</f>
        <v>7744</v>
      </c>
      <c r="E26" s="56">
        <f>D26*Assumptions!$G$47/Assumptions!$G$42</f>
        <v>1936</v>
      </c>
      <c r="F26" t="s">
        <v>299</v>
      </c>
    </row>
    <row r="27" spans="1:8" x14ac:dyDescent="0.3">
      <c r="B27" t="s">
        <v>303</v>
      </c>
      <c r="C27" s="56">
        <f>('Unit Costs'!$G$4+'Unit Costs'!$G$5)*Assumptions!$G$44*Assumptions!$G$45</f>
        <v>67755</v>
      </c>
      <c r="D27" s="56">
        <f>IF(Assumptions!$G$10="Home Language",0,$C27)</f>
        <v>67755</v>
      </c>
      <c r="E27" s="56">
        <f>D27*Assumptions!$G$47/Assumptions!$G$42</f>
        <v>16938.75</v>
      </c>
      <c r="F27" t="s">
        <v>299</v>
      </c>
    </row>
    <row r="28" spans="1:8" x14ac:dyDescent="0.3">
      <c r="B28" t="s">
        <v>558</v>
      </c>
      <c r="C28" s="56">
        <f>(('Unit Costs'!$G$6*Assumptions!$G$44)+('Unit Costs'!$G$7))*Assumptions!$G$46</f>
        <v>45272</v>
      </c>
      <c r="D28" s="56">
        <f>IF(Assumptions!$G$10="Home Language",0,$C28)</f>
        <v>45272</v>
      </c>
      <c r="E28" s="56">
        <f>D28*Assumptions!$G$47/Assumptions!$G$42</f>
        <v>11318</v>
      </c>
      <c r="F28" t="s">
        <v>299</v>
      </c>
    </row>
    <row r="29" spans="1:8" x14ac:dyDescent="0.3">
      <c r="C29" s="56"/>
      <c r="D29" s="56"/>
      <c r="E29" s="56"/>
    </row>
    <row r="30" spans="1:8" x14ac:dyDescent="0.3">
      <c r="A30" s="13" t="s">
        <v>307</v>
      </c>
      <c r="C30" s="56"/>
      <c r="D30" s="56"/>
      <c r="E30" s="56"/>
    </row>
    <row r="31" spans="1:8" x14ac:dyDescent="0.3">
      <c r="A31" s="13"/>
      <c r="B31" t="s">
        <v>308</v>
      </c>
      <c r="C31" s="56">
        <f>'Unit Costs'!$G$10</f>
        <v>150000</v>
      </c>
      <c r="D31" s="56">
        <f>IF(Assumptions!$G$13="Yes",$C31,0)</f>
        <v>0</v>
      </c>
      <c r="E31" s="56">
        <f>D31</f>
        <v>0</v>
      </c>
      <c r="F31" t="s">
        <v>299</v>
      </c>
    </row>
    <row r="33" spans="1:6" x14ac:dyDescent="0.3">
      <c r="A33" s="13" t="s">
        <v>309</v>
      </c>
      <c r="C33" s="56"/>
      <c r="D33" s="56"/>
      <c r="E33" s="56"/>
    </row>
    <row r="34" spans="1:6" x14ac:dyDescent="0.3">
      <c r="A34" s="13"/>
      <c r="B34" t="s">
        <v>310</v>
      </c>
      <c r="C34" s="56">
        <f>'Unit Costs'!$G$13</f>
        <v>1505</v>
      </c>
      <c r="D34" s="56">
        <f>C34</f>
        <v>1505</v>
      </c>
      <c r="E34" s="56">
        <f>D34/Assumptions!$G$50</f>
        <v>752.5</v>
      </c>
      <c r="F34" t="s">
        <v>311</v>
      </c>
    </row>
    <row r="35" spans="1:6" x14ac:dyDescent="0.3">
      <c r="B35" t="s">
        <v>312</v>
      </c>
      <c r="C35" s="56">
        <f>'Unit Costs'!$G$16</f>
        <v>811</v>
      </c>
      <c r="D35" s="56">
        <f>IF(Assumptions!$G$10="Home Language",0,$C35)</f>
        <v>811</v>
      </c>
      <c r="E35" s="56">
        <f>D35/Assumptions!$G$50</f>
        <v>405.5</v>
      </c>
      <c r="F35" t="s">
        <v>311</v>
      </c>
    </row>
    <row r="36" spans="1:6" x14ac:dyDescent="0.3">
      <c r="C36" s="56"/>
      <c r="D36" s="56"/>
      <c r="E36" s="56"/>
    </row>
    <row r="37" spans="1:6" x14ac:dyDescent="0.3">
      <c r="A37" s="13" t="s">
        <v>313</v>
      </c>
      <c r="C37" s="56"/>
      <c r="D37" s="56"/>
      <c r="E37" s="56"/>
    </row>
    <row r="38" spans="1:6" x14ac:dyDescent="0.3">
      <c r="A38" s="13"/>
      <c r="B38" t="s">
        <v>314</v>
      </c>
      <c r="C38" s="56">
        <f>'Unit Costs'!$G$12</f>
        <v>615</v>
      </c>
      <c r="D38" s="56">
        <f>IF(Assumptions!$G$13="Yes",0,$C38)</f>
        <v>615</v>
      </c>
      <c r="E38" s="56">
        <f>D38/Assumptions!$G$50</f>
        <v>307.5</v>
      </c>
      <c r="F38" t="s">
        <v>311</v>
      </c>
    </row>
    <row r="39" spans="1:6" x14ac:dyDescent="0.3">
      <c r="B39" t="s">
        <v>315</v>
      </c>
      <c r="C39" s="56">
        <f>'Unit Costs'!$G$15</f>
        <v>331</v>
      </c>
      <c r="D39" s="56">
        <f>IF(OR(Assumptions!$G$13="Yes", Assumptions!$G$10="Home Language"),0,$C39)</f>
        <v>331</v>
      </c>
      <c r="E39" s="56">
        <f>D39/Assumptions!$G$50</f>
        <v>165.5</v>
      </c>
      <c r="F39" t="s">
        <v>311</v>
      </c>
    </row>
    <row r="40" spans="1:6" x14ac:dyDescent="0.3">
      <c r="C40" s="56"/>
      <c r="D40" s="56"/>
      <c r="E40" s="56"/>
    </row>
    <row r="41" spans="1:6" x14ac:dyDescent="0.3">
      <c r="A41" s="13" t="s">
        <v>316</v>
      </c>
      <c r="C41" s="56"/>
      <c r="D41" s="56"/>
      <c r="E41" s="56"/>
    </row>
    <row r="42" spans="1:6" x14ac:dyDescent="0.3">
      <c r="A42" s="13"/>
      <c r="B42" t="s">
        <v>199</v>
      </c>
      <c r="C42" s="56">
        <f>'Unit Costs'!$G$18</f>
        <v>2839</v>
      </c>
      <c r="D42" s="56">
        <f>IF(Assumptions!$G$13="Yes",$C42,0)</f>
        <v>0</v>
      </c>
      <c r="E42" s="56">
        <f>D42/Assumptions!$G$50</f>
        <v>0</v>
      </c>
      <c r="F42" t="s">
        <v>311</v>
      </c>
    </row>
    <row r="43" spans="1:6" x14ac:dyDescent="0.3">
      <c r="B43" t="s">
        <v>203</v>
      </c>
      <c r="C43" s="56">
        <f>'Unit Costs'!$G$19</f>
        <v>900</v>
      </c>
      <c r="D43" s="56">
        <f>IF(Assumptions!$G$13="Yes",$C43,0)</f>
        <v>0</v>
      </c>
      <c r="E43" s="56">
        <f>D43</f>
        <v>0</v>
      </c>
      <c r="F43" t="s">
        <v>311</v>
      </c>
    </row>
    <row r="45" spans="1:6" x14ac:dyDescent="0.3">
      <c r="A45" s="13" t="s">
        <v>16</v>
      </c>
      <c r="C45" s="56"/>
      <c r="D45" s="56"/>
      <c r="E45" s="56"/>
    </row>
    <row r="46" spans="1:6" x14ac:dyDescent="0.3">
      <c r="A46" s="13"/>
      <c r="B46" t="s">
        <v>317</v>
      </c>
      <c r="C46" s="56">
        <f>'Unit Costs'!$G$37*(Assumptions!$G$55*Assumptions!$G$56)</f>
        <v>1239</v>
      </c>
      <c r="D46" s="56">
        <f t="shared" ref="D46:E50" si="0">C46</f>
        <v>1239</v>
      </c>
      <c r="E46" s="56">
        <f t="shared" si="0"/>
        <v>1239</v>
      </c>
      <c r="F46" t="s">
        <v>311</v>
      </c>
    </row>
    <row r="47" spans="1:6" x14ac:dyDescent="0.3">
      <c r="A47" s="13"/>
      <c r="B47" t="s">
        <v>318</v>
      </c>
      <c r="C47" s="56">
        <f>(Assumptions!$G$55-1)*Assumptions!$G$56*'Unit Costs'!$G$34</f>
        <v>2880</v>
      </c>
      <c r="D47" s="56">
        <f>C47</f>
        <v>2880</v>
      </c>
      <c r="E47" s="56">
        <f>D47</f>
        <v>2880</v>
      </c>
      <c r="F47" t="s">
        <v>311</v>
      </c>
    </row>
    <row r="48" spans="1:6" x14ac:dyDescent="0.3">
      <c r="B48" t="s">
        <v>319</v>
      </c>
      <c r="C48" s="56">
        <f>'Unit Costs'!$G$37*(Assumptions!$G$57*Assumptions!$G$58)</f>
        <v>2478</v>
      </c>
      <c r="D48" s="56">
        <f t="shared" si="0"/>
        <v>2478</v>
      </c>
      <c r="E48" s="56">
        <f t="shared" si="0"/>
        <v>2478</v>
      </c>
      <c r="F48" t="s">
        <v>311</v>
      </c>
    </row>
    <row r="49" spans="1:9" x14ac:dyDescent="0.3">
      <c r="B49" t="s">
        <v>320</v>
      </c>
      <c r="C49" s="56">
        <f>(Assumptions!$G$57-1)*Assumptions!$G$58*'Unit Costs'!$G$34</f>
        <v>4320</v>
      </c>
      <c r="D49" s="56">
        <f>C49</f>
        <v>4320</v>
      </c>
      <c r="E49" s="56">
        <f>D49</f>
        <v>4320</v>
      </c>
      <c r="F49" t="s">
        <v>311</v>
      </c>
    </row>
    <row r="50" spans="1:9" x14ac:dyDescent="0.3">
      <c r="B50" t="s">
        <v>321</v>
      </c>
      <c r="C50" s="56">
        <f>'Unit Costs'!$G$38*Assumptions!$G$59*Assumptions!$G$60</f>
        <v>0</v>
      </c>
      <c r="D50" s="56">
        <f t="shared" si="0"/>
        <v>0</v>
      </c>
      <c r="E50" s="56">
        <f t="shared" si="0"/>
        <v>0</v>
      </c>
      <c r="F50" t="s">
        <v>311</v>
      </c>
    </row>
    <row r="51" spans="1:9" x14ac:dyDescent="0.3">
      <c r="B51" s="149" t="s">
        <v>322</v>
      </c>
      <c r="C51" s="56">
        <f>'Unit Costs'!$G$31*ROUNDUP($B$3/Assumptions!$G$53,0)*(Assumptions!$G$55*Assumptions!$G$56+Assumptions!$G$57*Assumptions!$G$58)/$B$3</f>
        <v>696.96</v>
      </c>
      <c r="D51" s="56">
        <f>IF(Assumptions!$G$11 = "Yes", C51*Assumptions!$G$54, C51)</f>
        <v>696.96</v>
      </c>
      <c r="E51" s="56">
        <f>D51</f>
        <v>696.96</v>
      </c>
      <c r="F51" t="s">
        <v>311</v>
      </c>
      <c r="G51" t="s">
        <v>323</v>
      </c>
    </row>
    <row r="53" spans="1:9" ht="18" x14ac:dyDescent="0.35">
      <c r="A53" s="58" t="s">
        <v>324</v>
      </c>
      <c r="B53" s="58"/>
      <c r="C53" s="58"/>
      <c r="D53" s="58"/>
      <c r="E53" s="58"/>
      <c r="F53" s="58"/>
      <c r="G53" s="58"/>
      <c r="H53" s="58"/>
      <c r="I53" s="58"/>
    </row>
    <row r="54" spans="1:9" ht="15.6" x14ac:dyDescent="0.3">
      <c r="A54" s="13" t="s">
        <v>325</v>
      </c>
      <c r="B54" s="13"/>
      <c r="C54" s="13"/>
      <c r="D54" s="13"/>
      <c r="E54" s="13"/>
      <c r="F54" s="13"/>
      <c r="H54" s="60"/>
    </row>
    <row r="55" spans="1:9" x14ac:dyDescent="0.3">
      <c r="A55" s="68" t="s">
        <v>326</v>
      </c>
      <c r="B55" t="s">
        <v>327</v>
      </c>
      <c r="C55" s="56">
        <f>'Unit Costs'!$G$21*'Unit Costs'!$E$21</f>
        <v>61950.119999999995</v>
      </c>
      <c r="D55" s="56">
        <f>IF(AND(Assumptions!$G$11="Yes",OR(Assumptions!$G$12=Lists!$AB$2,Assumptions!$G$12=Lists!$AB$3)), C55, 0)</f>
        <v>0</v>
      </c>
      <c r="E55" s="56">
        <f>D55/Assumptions!$G$66</f>
        <v>0</v>
      </c>
      <c r="F55" t="s">
        <v>366</v>
      </c>
      <c r="H55" s="59"/>
    </row>
    <row r="56" spans="1:9" x14ac:dyDescent="0.3">
      <c r="A56" s="68"/>
      <c r="B56" t="s">
        <v>329</v>
      </c>
      <c r="C56" s="56">
        <f>'Unit Costs'!$G$44</f>
        <v>7744</v>
      </c>
      <c r="D56" s="56">
        <f>IF(AND(Assumptions!$G$11="Yes",OR(Assumptions!$G$12=Lists!$AB$2,Assumptions!$G$12=Lists!$AB$3)), C56, 0)</f>
        <v>0</v>
      </c>
      <c r="E56" s="56">
        <f>D56/Assumptions!$G$67</f>
        <v>0</v>
      </c>
      <c r="F56" t="s">
        <v>366</v>
      </c>
    </row>
    <row r="57" spans="1:9" x14ac:dyDescent="0.3">
      <c r="A57" s="68"/>
      <c r="B57" t="s">
        <v>330</v>
      </c>
      <c r="C57" s="56">
        <f>'Unit Costs'!$G$24</f>
        <v>38719</v>
      </c>
      <c r="D57" s="56">
        <f>IF(AND(Assumptions!$G$11="Yes",OR(Assumptions!$G$12=Lists!$AB$2,Assumptions!$G$12=Lists!$AB$3)), C57, 0)</f>
        <v>0</v>
      </c>
      <c r="E57" s="56">
        <f>D57/Assumptions!$G$66</f>
        <v>0</v>
      </c>
      <c r="F57" t="s">
        <v>366</v>
      </c>
    </row>
    <row r="58" spans="1:9" x14ac:dyDescent="0.3">
      <c r="A58" s="68"/>
      <c r="B58" t="s">
        <v>331</v>
      </c>
      <c r="C58" s="56">
        <f>Assumptions!$G$69*'Unit Costs'!$G$26</f>
        <v>3225</v>
      </c>
      <c r="D58" s="56">
        <f>IF(AND(Assumptions!$G$11="Yes",OR(Assumptions!$G$12=Lists!$AB$2,Assumptions!$G$12=Lists!$AB$3)), C58, 0)</f>
        <v>0</v>
      </c>
      <c r="E58" s="56">
        <f>D58/Assumptions!$G$66</f>
        <v>0</v>
      </c>
      <c r="F58" t="s">
        <v>366</v>
      </c>
    </row>
    <row r="59" spans="1:9" x14ac:dyDescent="0.3">
      <c r="A59" s="68"/>
      <c r="B59" t="s">
        <v>332</v>
      </c>
      <c r="C59" s="56">
        <f>(Assumptions!$G$69-1)*'Unit Costs'!$G$27</f>
        <v>5760</v>
      </c>
      <c r="D59" s="56">
        <f>IF(AND(Assumptions!$G$11="Yes",OR(Assumptions!$G$12=Lists!$AB$2,Assumptions!$G$12=Lists!$AB$3)), C59, 0)</f>
        <v>0</v>
      </c>
      <c r="E59" s="56">
        <f>D59/Assumptions!$G$66</f>
        <v>0</v>
      </c>
      <c r="F59" t="s">
        <v>366</v>
      </c>
    </row>
    <row r="60" spans="1:9" x14ac:dyDescent="0.3">
      <c r="A60" s="68"/>
      <c r="B60" s="149" t="s">
        <v>555</v>
      </c>
      <c r="C60" s="56">
        <f>'Unit Costs'!$G$32*ROUNDUP($B$6/Assumptions!$G$64,0)*Assumptions!C$69/($B$6)</f>
        <v>1843.7142857142858</v>
      </c>
      <c r="D60" s="56">
        <f>IF(AND(Assumptions!$G$11="Yes",OR(Assumptions!$G$12=Lists!$AB$2,Assumptions!$G$12=Lists!$AB$3)), C60, 0)*Assumptions!$G$65</f>
        <v>0</v>
      </c>
      <c r="E60" s="56">
        <f>D60/Assumptions!$G$66</f>
        <v>0</v>
      </c>
      <c r="F60" t="s">
        <v>366</v>
      </c>
    </row>
    <row r="61" spans="1:9" x14ac:dyDescent="0.3">
      <c r="A61" s="68"/>
    </row>
    <row r="62" spans="1:9" x14ac:dyDescent="0.3">
      <c r="A62" s="68" t="s">
        <v>334</v>
      </c>
      <c r="B62" t="s">
        <v>571</v>
      </c>
      <c r="C62" s="56">
        <f>'Unit Costs'!$G$29</f>
        <v>516251</v>
      </c>
      <c r="D62" s="56">
        <f>IF(AND(Assumptions!$G$11="Yes",OR(Assumptions!$G$12=Lists!$AB$2,Assumptions!$G$12=Lists!$AB$3)), C62, 0)</f>
        <v>0</v>
      </c>
      <c r="E62" s="56">
        <f t="shared" ref="E62:E67" si="1">D62</f>
        <v>0</v>
      </c>
      <c r="F62" t="s">
        <v>366</v>
      </c>
    </row>
    <row r="63" spans="1:9" x14ac:dyDescent="0.3">
      <c r="A63" s="68"/>
      <c r="B63" t="s">
        <v>336</v>
      </c>
      <c r="C63" s="56">
        <f>'Unit Costs'!$G$30*$B$7/$B$6</f>
        <v>35400.057142857142</v>
      </c>
      <c r="D63" s="56">
        <f>IF(AND(Assumptions!$G$11="Yes",OR(Assumptions!$G$12=Lists!$AB$2,Assumptions!$G$12=Lists!$AB$3)), C63, 0)</f>
        <v>0</v>
      </c>
      <c r="E63" s="56">
        <f t="shared" si="1"/>
        <v>0</v>
      </c>
      <c r="F63" t="s">
        <v>366</v>
      </c>
    </row>
    <row r="64" spans="1:9" x14ac:dyDescent="0.3">
      <c r="A64" s="68"/>
      <c r="B64" t="s">
        <v>337</v>
      </c>
      <c r="C64" s="56">
        <f>'Unit Costs'!$G$40</f>
        <v>4337</v>
      </c>
      <c r="D64" s="56">
        <f>IF(AND(Assumptions!$G$11="Yes",OR(Assumptions!$G$12=Lists!$AB$2,Assumptions!$G$12=Lists!$AB$3)), C64, 0)</f>
        <v>0</v>
      </c>
      <c r="E64" s="56">
        <f t="shared" si="1"/>
        <v>0</v>
      </c>
      <c r="F64" t="s">
        <v>366</v>
      </c>
    </row>
    <row r="65" spans="1:8" x14ac:dyDescent="0.3">
      <c r="A65" s="68"/>
      <c r="B65" t="s">
        <v>338</v>
      </c>
      <c r="C65" s="56">
        <f>4*(Assumptions!$G$70*'Unit Costs'!$G$26)</f>
        <v>5160</v>
      </c>
      <c r="D65" s="56">
        <f>IF(AND(Assumptions!$G$11="Yes",OR(Assumptions!$G$12=Lists!$AB$2,Assumptions!$G$12=Lists!$AB$3)), C65, 0)</f>
        <v>0</v>
      </c>
      <c r="E65" s="56">
        <f t="shared" si="1"/>
        <v>0</v>
      </c>
      <c r="F65" t="s">
        <v>366</v>
      </c>
    </row>
    <row r="66" spans="1:8" x14ac:dyDescent="0.3">
      <c r="A66" s="68"/>
      <c r="B66" t="s">
        <v>339</v>
      </c>
      <c r="C66" s="56">
        <f>4*((Assumptions!$G$70-1)*'Unit Costs'!$G$27)</f>
        <v>5760</v>
      </c>
      <c r="D66" s="56">
        <f>IF(AND(Assumptions!$G$11="Yes",OR(Assumptions!$G$12=Lists!$AB$2,Assumptions!$G$12=Lists!$AB$3)), C66, 0)</f>
        <v>0</v>
      </c>
      <c r="E66" s="56">
        <f t="shared" si="1"/>
        <v>0</v>
      </c>
      <c r="F66" t="s">
        <v>366</v>
      </c>
    </row>
    <row r="67" spans="1:8" x14ac:dyDescent="0.3">
      <c r="A67" s="68"/>
      <c r="B67" s="149" t="s">
        <v>556</v>
      </c>
      <c r="C67" s="56">
        <f>4*'Unit Costs'!$G$32*ROUNDUP($B$6/Assumptions!$G$64,0)*Assumptions!$G$70/($B$6)</f>
        <v>2949.9428571428571</v>
      </c>
      <c r="D67" s="56">
        <f>IF(AND(Assumptions!$G$11="Yes",OR(Assumptions!$G$12=Lists!$AB$2,Assumptions!$G$12=Lists!$AB$3)), C67, 0)*Assumptions!$G$65</f>
        <v>0</v>
      </c>
      <c r="E67" s="56">
        <f t="shared" si="1"/>
        <v>0</v>
      </c>
      <c r="F67" t="s">
        <v>366</v>
      </c>
    </row>
    <row r="68" spans="1:8" x14ac:dyDescent="0.3">
      <c r="A68" s="68"/>
    </row>
    <row r="69" spans="1:8" x14ac:dyDescent="0.3">
      <c r="A69" s="68" t="s">
        <v>341</v>
      </c>
      <c r="B69" s="63" t="s">
        <v>342</v>
      </c>
      <c r="C69" s="64">
        <f>'Unit Costs'!$G$41</f>
        <v>69694</v>
      </c>
      <c r="D69" s="64">
        <f>IF(AND(Assumptions!$G$11="Yes",Assumptions!$G$12=Lists!$AB$2), C69, 0)</f>
        <v>0</v>
      </c>
      <c r="E69" s="64">
        <f>D69</f>
        <v>0</v>
      </c>
      <c r="F69" t="s">
        <v>366</v>
      </c>
      <c r="G69" t="s">
        <v>343</v>
      </c>
    </row>
    <row r="70" spans="1:8" x14ac:dyDescent="0.3">
      <c r="A70" s="68"/>
      <c r="B70" s="63" t="s">
        <v>557</v>
      </c>
      <c r="C70" s="64">
        <f>'Unit Costs'!$G$42</f>
        <v>30975</v>
      </c>
      <c r="D70" s="64">
        <f>IF(AND(Assumptions!$G$11="Yes",Assumptions!$G$12=Lists!$AB$2), C70, 0)</f>
        <v>0</v>
      </c>
      <c r="E70" s="64">
        <f>D70</f>
        <v>0</v>
      </c>
      <c r="F70" t="s">
        <v>366</v>
      </c>
    </row>
    <row r="71" spans="1:8" x14ac:dyDescent="0.3">
      <c r="A71" s="68"/>
      <c r="C71" s="56"/>
      <c r="D71" s="56"/>
      <c r="E71" s="56"/>
    </row>
    <row r="72" spans="1:8" x14ac:dyDescent="0.3">
      <c r="A72" s="68" t="s">
        <v>345</v>
      </c>
      <c r="B72" t="s">
        <v>346</v>
      </c>
      <c r="C72" s="56">
        <f>'Unit Costs'!$G$43</f>
        <v>10067</v>
      </c>
      <c r="D72" s="56">
        <f>IF(AND(Assumptions!$G$11="Yes",Assumptions!$G$12=Lists!$AB$3),C72,0)</f>
        <v>0</v>
      </c>
      <c r="E72" s="56">
        <f>D72</f>
        <v>0</v>
      </c>
      <c r="F72" t="s">
        <v>366</v>
      </c>
    </row>
    <row r="73" spans="1:8" x14ac:dyDescent="0.3">
      <c r="A73" s="68"/>
      <c r="C73" s="56"/>
      <c r="D73" s="56"/>
      <c r="E73" s="56"/>
    </row>
    <row r="74" spans="1:8" x14ac:dyDescent="0.3">
      <c r="A74" s="68"/>
    </row>
    <row r="75" spans="1:8" ht="15.6" x14ac:dyDescent="0.3">
      <c r="A75" s="13" t="s">
        <v>347</v>
      </c>
      <c r="B75" s="13"/>
      <c r="C75" s="13"/>
      <c r="D75" s="13"/>
      <c r="E75" s="13"/>
      <c r="F75" s="13"/>
      <c r="H75" s="60"/>
    </row>
    <row r="76" spans="1:8" x14ac:dyDescent="0.3">
      <c r="A76" s="68" t="s">
        <v>326</v>
      </c>
      <c r="B76" t="s">
        <v>348</v>
      </c>
      <c r="C76" s="56">
        <f>'Unit Costs'!$G$21*'Unit Costs'!$E$21</f>
        <v>61950.119999999995</v>
      </c>
      <c r="D76" s="56">
        <f>IF(AND(Assumptions!$G$11="Yes",Assumptions!$G$12=Lists!$AB$4), C76, 0)</f>
        <v>0</v>
      </c>
      <c r="E76" s="56">
        <f>D76/Assumptions!$G$75</f>
        <v>0</v>
      </c>
      <c r="F76" t="s">
        <v>572</v>
      </c>
      <c r="H76" s="59"/>
    </row>
    <row r="77" spans="1:8" x14ac:dyDescent="0.3">
      <c r="A77" s="68"/>
      <c r="B77" t="s">
        <v>350</v>
      </c>
      <c r="C77" s="56">
        <f>'Unit Costs'!$G$44</f>
        <v>7744</v>
      </c>
      <c r="D77" s="56">
        <f>IF(AND(Assumptions!$G$11="Yes",Assumptions!$G$12=Lists!$AB$4), C77, 0)</f>
        <v>0</v>
      </c>
      <c r="E77" s="56">
        <f>D77/Assumptions!$G$76</f>
        <v>0</v>
      </c>
      <c r="F77" t="s">
        <v>572</v>
      </c>
    </row>
    <row r="78" spans="1:8" x14ac:dyDescent="0.3">
      <c r="A78" s="68"/>
      <c r="B78" t="s">
        <v>330</v>
      </c>
      <c r="C78" s="56">
        <f>'Unit Costs'!$G$24</f>
        <v>38719</v>
      </c>
      <c r="D78" s="56">
        <f>IF(AND(Assumptions!$G$11="Yes",Assumptions!$G$12=Lists!$AB$4), C78, 0)</f>
        <v>0</v>
      </c>
      <c r="E78" s="56">
        <f>D78/Assumptions!$G$75</f>
        <v>0</v>
      </c>
      <c r="F78" t="s">
        <v>572</v>
      </c>
    </row>
    <row r="79" spans="1:8" x14ac:dyDescent="0.3">
      <c r="A79" s="68"/>
      <c r="B79" t="s">
        <v>351</v>
      </c>
      <c r="C79" s="56">
        <f>Assumptions!$G$69*'Unit Costs'!$G$26</f>
        <v>3225</v>
      </c>
      <c r="D79" s="56">
        <f>IF(AND(Assumptions!$G$11="Yes",Assumptions!$G$12=Lists!$AB$4), C79, 0)</f>
        <v>0</v>
      </c>
      <c r="E79" s="56">
        <f>D79/Assumptions!$G$75</f>
        <v>0</v>
      </c>
      <c r="F79" t="s">
        <v>572</v>
      </c>
    </row>
    <row r="80" spans="1:8" x14ac:dyDescent="0.3">
      <c r="A80" s="68"/>
      <c r="B80" t="s">
        <v>352</v>
      </c>
      <c r="C80" s="56">
        <f>(Assumptions!$G$69-1)*'Unit Costs'!$G$27</f>
        <v>5760</v>
      </c>
      <c r="D80" s="56">
        <f>IF(AND(Assumptions!$G$11="Yes",Assumptions!$G$12=Lists!$AB$4), C80, 0)</f>
        <v>0</v>
      </c>
      <c r="E80" s="56">
        <f>D80/Assumptions!$G$75</f>
        <v>0</v>
      </c>
      <c r="F80" t="s">
        <v>572</v>
      </c>
    </row>
    <row r="81" spans="1:6" x14ac:dyDescent="0.3">
      <c r="A81" s="68"/>
      <c r="B81" s="149" t="s">
        <v>353</v>
      </c>
      <c r="C81" s="56">
        <f>'Unit Costs'!$G$32*ROUNDUP($B$9/Assumptions!$G$74,0)*Assumptions!$G$80*Assumptions!$G$81/($B$9)</f>
        <v>0</v>
      </c>
      <c r="D81" s="56">
        <f>IF(AND(Assumptions!$G$11="Yes",Assumptions!$G$12=Lists!$AB$4), C81, 0)*Assumptions!$G$79</f>
        <v>0</v>
      </c>
      <c r="E81" s="56">
        <f>D81/Assumptions!$G$75</f>
        <v>0</v>
      </c>
      <c r="F81" t="s">
        <v>572</v>
      </c>
    </row>
    <row r="82" spans="1:6" x14ac:dyDescent="0.3">
      <c r="A82" s="68"/>
    </row>
    <row r="83" spans="1:6" x14ac:dyDescent="0.3">
      <c r="A83" s="68" t="s">
        <v>354</v>
      </c>
      <c r="B83" t="s">
        <v>355</v>
      </c>
      <c r="C83" s="56">
        <f>'Unit Costs'!$G$29</f>
        <v>516251</v>
      </c>
      <c r="D83" s="56">
        <f>IF(AND(Assumptions!$G$11="Yes",Assumptions!$G$12=Lists!$AB$4), C83, 0)</f>
        <v>0</v>
      </c>
      <c r="E83" s="56">
        <f t="shared" ref="E83:E88" si="2">D83</f>
        <v>0</v>
      </c>
      <c r="F83" t="s">
        <v>572</v>
      </c>
    </row>
    <row r="84" spans="1:6" x14ac:dyDescent="0.3">
      <c r="A84" s="68"/>
      <c r="B84" t="s">
        <v>356</v>
      </c>
      <c r="C84" s="56">
        <f>'Unit Costs'!$G$30*$B$11/$B$10</f>
        <v>31860.051428571427</v>
      </c>
      <c r="D84" s="56">
        <f>IF(AND(Assumptions!$G$11="Yes",Assumptions!$G$12=Lists!$AB$4), C84, 0)</f>
        <v>0</v>
      </c>
      <c r="E84" s="56">
        <f t="shared" si="2"/>
        <v>0</v>
      </c>
      <c r="F84" t="s">
        <v>572</v>
      </c>
    </row>
    <row r="85" spans="1:6" x14ac:dyDescent="0.3">
      <c r="A85" s="68"/>
      <c r="B85" t="s">
        <v>337</v>
      </c>
      <c r="C85" s="56">
        <f>'Unit Costs'!$G$40</f>
        <v>4337</v>
      </c>
      <c r="D85" s="56">
        <f>IF(AND(Assumptions!$G$11="Yes",Assumptions!$G$12=Lists!$AB$4), C85, 0)</f>
        <v>0</v>
      </c>
      <c r="E85" s="56">
        <f t="shared" si="2"/>
        <v>0</v>
      </c>
      <c r="F85" t="s">
        <v>572</v>
      </c>
    </row>
    <row r="86" spans="1:6" x14ac:dyDescent="0.3">
      <c r="A86" s="68"/>
      <c r="B86" t="s">
        <v>357</v>
      </c>
      <c r="C86" s="56">
        <f>4*(Assumptions!$G$70*'Unit Costs'!$G$26)</f>
        <v>5160</v>
      </c>
      <c r="D86" s="56">
        <f>IF(AND(Assumptions!$G$11="Yes",Assumptions!$G$12=Lists!$AB$4), C86, 0)</f>
        <v>0</v>
      </c>
      <c r="E86" s="56">
        <f t="shared" si="2"/>
        <v>0</v>
      </c>
      <c r="F86" t="s">
        <v>572</v>
      </c>
    </row>
    <row r="87" spans="1:6" x14ac:dyDescent="0.3">
      <c r="A87" s="68"/>
      <c r="B87" t="s">
        <v>358</v>
      </c>
      <c r="C87" s="56">
        <f>4*((Assumptions!$G$70-1)*'Unit Costs'!$G$27)</f>
        <v>5760</v>
      </c>
      <c r="D87" s="56">
        <f>IF(AND(Assumptions!$G$11="Yes",Assumptions!$G$12=Lists!$AB$4), C87, 0)</f>
        <v>0</v>
      </c>
      <c r="E87" s="56">
        <f t="shared" si="2"/>
        <v>0</v>
      </c>
      <c r="F87" t="s">
        <v>572</v>
      </c>
    </row>
    <row r="88" spans="1:6" x14ac:dyDescent="0.3">
      <c r="A88" s="68"/>
      <c r="B88" s="149" t="s">
        <v>359</v>
      </c>
      <c r="C88" s="56">
        <f>'Unit Costs'!$G$32*ROUNDUP($B$9/Assumptions!$G$74,0)*Assumptions!$G$82*Assumptions!$G$83/($B$9)</f>
        <v>0</v>
      </c>
      <c r="D88" s="56">
        <f>IF(AND(Assumptions!$G$11="Yes",Assumptions!$G$12=Lists!$AB$4), C88, 0)*Assumptions!$G$79</f>
        <v>0</v>
      </c>
      <c r="E88" s="56">
        <f t="shared" si="2"/>
        <v>0</v>
      </c>
      <c r="F88" t="s">
        <v>572</v>
      </c>
    </row>
    <row r="89" spans="1:6" x14ac:dyDescent="0.3">
      <c r="A89" s="68"/>
    </row>
    <row r="90" spans="1:6" x14ac:dyDescent="0.3">
      <c r="A90" s="68" t="s">
        <v>360</v>
      </c>
      <c r="B90" s="63" t="s">
        <v>361</v>
      </c>
      <c r="C90" s="64">
        <f>'Unit Costs'!$G$41</f>
        <v>69694</v>
      </c>
      <c r="D90" s="56">
        <f>IF(AND(Assumptions!$G$11="Yes",Assumptions!$G$12=Lists!$AB$4), C90, 0)</f>
        <v>0</v>
      </c>
      <c r="E90" s="64">
        <f>D90</f>
        <v>0</v>
      </c>
      <c r="F90" t="s">
        <v>572</v>
      </c>
    </row>
    <row r="91" spans="1:6" x14ac:dyDescent="0.3">
      <c r="A91" s="68"/>
      <c r="B91" s="63" t="s">
        <v>557</v>
      </c>
      <c r="C91" s="64">
        <f>'Unit Costs'!$G$42</f>
        <v>30975</v>
      </c>
      <c r="D91" s="56">
        <f>IF(AND(Assumptions!$G$11="Yes",Assumptions!$G$12=Lists!$AB$4), C91, 0)</f>
        <v>0</v>
      </c>
      <c r="E91" s="64">
        <f>D91</f>
        <v>0</v>
      </c>
      <c r="F91" t="s">
        <v>572</v>
      </c>
    </row>
    <row r="92" spans="1:6" x14ac:dyDescent="0.3">
      <c r="A92" s="68"/>
      <c r="D92" s="56"/>
    </row>
    <row r="93" spans="1:6" x14ac:dyDescent="0.3">
      <c r="A93" s="68"/>
      <c r="D93" s="56"/>
    </row>
    <row r="94" spans="1:6" x14ac:dyDescent="0.3">
      <c r="A94" s="68" t="s">
        <v>362</v>
      </c>
      <c r="B94" t="s">
        <v>363</v>
      </c>
      <c r="C94" s="56">
        <f>(('Unit Costs'!$G$35+(Assumptions!$G$80-2)*'Unit Costs'!$G$36)*Assumptions!$G$81)*$B$9/$B$10</f>
        <v>0</v>
      </c>
      <c r="D94" s="56">
        <f>IF(AND(Assumptions!$G$11="Yes",Assumptions!$G$12=Lists!$AB$4),C94,0)</f>
        <v>0</v>
      </c>
      <c r="E94" s="56">
        <f>D94</f>
        <v>0</v>
      </c>
      <c r="F94" t="s">
        <v>572</v>
      </c>
    </row>
    <row r="95" spans="1:6" x14ac:dyDescent="0.3">
      <c r="A95" s="68"/>
      <c r="B95" t="s">
        <v>364</v>
      </c>
      <c r="C95" s="56">
        <f>(('Unit Costs'!$G$35+(Assumptions!$G$82-2)*'Unit Costs'!$G$36)*Assumptions!$G$83)*$B$9/$B$10</f>
        <v>0</v>
      </c>
      <c r="D95" s="56">
        <f>IF(AND(Assumptions!$G$11="Yes",Assumptions!$G$12=Lists!$AB$4),C95,0)</f>
        <v>0</v>
      </c>
      <c r="E95" s="56">
        <f>D95</f>
        <v>0</v>
      </c>
      <c r="F95" t="s">
        <v>572</v>
      </c>
    </row>
    <row r="96" spans="1:6" x14ac:dyDescent="0.3">
      <c r="A96" s="68"/>
      <c r="C96" s="56"/>
      <c r="D96" s="56"/>
      <c r="E96" s="56"/>
    </row>
    <row r="98" spans="1:9" ht="18" x14ac:dyDescent="0.35">
      <c r="A98" s="58" t="s">
        <v>365</v>
      </c>
      <c r="B98" s="58"/>
      <c r="C98" s="58"/>
      <c r="D98" s="58"/>
      <c r="E98" s="58"/>
      <c r="F98" s="58"/>
      <c r="G98" s="58"/>
      <c r="H98" s="58"/>
      <c r="I98" s="58"/>
    </row>
    <row r="99" spans="1:9" x14ac:dyDescent="0.3">
      <c r="A99" s="13" t="s">
        <v>14</v>
      </c>
      <c r="E99" s="56">
        <f>SUM(E15:$E$31)</f>
        <v>115824.33333333333</v>
      </c>
      <c r="F99" t="s">
        <v>299</v>
      </c>
    </row>
    <row r="100" spans="1:9" x14ac:dyDescent="0.3">
      <c r="E100" s="56">
        <f>E99/$B$6</f>
        <v>6618.5333333333328</v>
      </c>
      <c r="F100" t="s">
        <v>366</v>
      </c>
    </row>
    <row r="101" spans="1:9" x14ac:dyDescent="0.3">
      <c r="E101" s="74">
        <f>E99/$B$3</f>
        <v>110.30888888888889</v>
      </c>
      <c r="F101" s="75" t="s">
        <v>311</v>
      </c>
    </row>
    <row r="103" spans="1:9" x14ac:dyDescent="0.3">
      <c r="A103" s="13" t="s">
        <v>15</v>
      </c>
      <c r="E103" s="74">
        <f>SUM($E$34:$E$43)</f>
        <v>1631</v>
      </c>
      <c r="F103" s="75" t="s">
        <v>311</v>
      </c>
    </row>
    <row r="104" spans="1:9" x14ac:dyDescent="0.3">
      <c r="E104" s="56"/>
    </row>
    <row r="105" spans="1:9" x14ac:dyDescent="0.3">
      <c r="A105" s="13" t="s">
        <v>16</v>
      </c>
      <c r="E105" s="74">
        <f>SUM($E$46:$E$51)</f>
        <v>11613.96</v>
      </c>
      <c r="F105" s="75" t="s">
        <v>311</v>
      </c>
    </row>
    <row r="107" spans="1:9" x14ac:dyDescent="0.3">
      <c r="A107" s="13" t="s">
        <v>17</v>
      </c>
      <c r="E107" s="56">
        <f>SUM($E$55:$E$72)</f>
        <v>0</v>
      </c>
      <c r="F107" t="s">
        <v>366</v>
      </c>
    </row>
    <row r="108" spans="1:9" x14ac:dyDescent="0.3">
      <c r="E108" s="74">
        <f>E107*$B$6/$B$3</f>
        <v>0</v>
      </c>
      <c r="F108" s="75" t="s">
        <v>311</v>
      </c>
    </row>
    <row r="109" spans="1:9" x14ac:dyDescent="0.3">
      <c r="E109" s="56"/>
    </row>
    <row r="110" spans="1:9" x14ac:dyDescent="0.3">
      <c r="A110" s="13" t="s">
        <v>18</v>
      </c>
      <c r="E110" s="56">
        <f>SUM($E$76:$E$96)</f>
        <v>0</v>
      </c>
      <c r="F110" t="s">
        <v>367</v>
      </c>
    </row>
    <row r="111" spans="1:9" x14ac:dyDescent="0.3">
      <c r="E111" s="74">
        <f>E110*$B$10/$B$3</f>
        <v>0</v>
      </c>
      <c r="F111" s="75" t="s">
        <v>311</v>
      </c>
    </row>
    <row r="112" spans="1:9" x14ac:dyDescent="0.3">
      <c r="E112" s="56"/>
    </row>
    <row r="113" spans="1:8" x14ac:dyDescent="0.3">
      <c r="A113" s="13" t="s">
        <v>19</v>
      </c>
      <c r="E113" s="74">
        <f>SUM(E101,E103,E105,E108)*Assumptions!$G$22</f>
        <v>667.76344444444442</v>
      </c>
      <c r="F113" s="75" t="s">
        <v>311</v>
      </c>
    </row>
    <row r="115" spans="1:8" x14ac:dyDescent="0.3">
      <c r="A115" s="70" t="s">
        <v>368</v>
      </c>
      <c r="B115" s="55"/>
      <c r="C115" s="55"/>
      <c r="D115" s="55"/>
      <c r="E115" s="71">
        <f>SUM($E$101,$E$103,$E$105,$E$108,$E$111,$E$113)</f>
        <v>14023.032333333333</v>
      </c>
      <c r="F115" s="70" t="s">
        <v>311</v>
      </c>
      <c r="G115" s="56"/>
    </row>
    <row r="116" spans="1:8" x14ac:dyDescent="0.3">
      <c r="A116" s="69"/>
      <c r="B116" s="69"/>
      <c r="C116" s="69"/>
      <c r="D116" s="69"/>
      <c r="E116" s="72">
        <f>E115/Assumptions!$G$20</f>
        <v>400.65806666666663</v>
      </c>
      <c r="F116" s="73" t="s">
        <v>369</v>
      </c>
      <c r="G116" s="56"/>
    </row>
    <row r="117" spans="1:8" x14ac:dyDescent="0.3">
      <c r="A117" s="70" t="s">
        <v>370</v>
      </c>
      <c r="B117" s="55"/>
      <c r="C117" s="55"/>
      <c r="D117" s="55"/>
      <c r="E117" s="80">
        <f>E115/Assumptions!$G$23</f>
        <v>758.00174774774769</v>
      </c>
      <c r="F117" s="70" t="s">
        <v>311</v>
      </c>
      <c r="G117" s="56"/>
      <c r="H117" s="79"/>
    </row>
    <row r="118" spans="1:8" x14ac:dyDescent="0.3">
      <c r="A118" s="69"/>
      <c r="B118" s="69"/>
      <c r="C118" s="69"/>
      <c r="D118" s="69"/>
      <c r="E118" s="81">
        <f>E117/Assumptions!$G$20</f>
        <v>21.657192792792792</v>
      </c>
      <c r="F118" s="73" t="s">
        <v>369</v>
      </c>
      <c r="G118" s="56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99B03-A854-49AB-83CC-A3D871C45372}">
  <sheetPr>
    <tabColor rgb="FF00B050"/>
  </sheetPr>
  <dimension ref="A1:I118"/>
  <sheetViews>
    <sheetView topLeftCell="A18" zoomScale="88" workbookViewId="0">
      <selection activeCell="E43" sqref="E43"/>
    </sheetView>
  </sheetViews>
  <sheetFormatPr defaultRowHeight="14.4" x14ac:dyDescent="0.3"/>
  <cols>
    <col min="1" max="1" width="47" customWidth="1"/>
    <col min="2" max="2" width="60.6640625" bestFit="1" customWidth="1"/>
    <col min="3" max="3" width="22.33203125" customWidth="1"/>
    <col min="4" max="4" width="28.6640625" customWidth="1"/>
    <col min="5" max="5" width="27.6640625" customWidth="1"/>
    <col min="6" max="6" width="38.6640625" customWidth="1"/>
    <col min="7" max="7" width="9.33203125" bestFit="1" customWidth="1"/>
    <col min="8" max="8" width="34" customWidth="1"/>
    <col min="10" max="10" width="28.88671875" customWidth="1"/>
  </cols>
  <sheetData>
    <row r="1" spans="1:9" ht="18" x14ac:dyDescent="0.35">
      <c r="A1" s="58" t="s">
        <v>282</v>
      </c>
      <c r="B1" s="58"/>
      <c r="C1" s="58"/>
      <c r="D1" s="58"/>
      <c r="E1" s="58"/>
      <c r="F1" s="58"/>
      <c r="G1" s="58"/>
      <c r="H1" s="58"/>
      <c r="I1" s="58"/>
    </row>
    <row r="2" spans="1:9" ht="13.5" customHeight="1" x14ac:dyDescent="0.3">
      <c r="A2" t="s">
        <v>283</v>
      </c>
      <c r="B2" s="59">
        <f>Assumptions!$H$14</f>
        <v>175</v>
      </c>
      <c r="C2" s="13"/>
      <c r="D2" s="13"/>
    </row>
    <row r="3" spans="1:9" ht="13.5" customHeight="1" x14ac:dyDescent="0.3">
      <c r="A3" t="s">
        <v>284</v>
      </c>
      <c r="B3" s="59">
        <f>Assumptions!$H$14*Assumptions!$H$16</f>
        <v>1050</v>
      </c>
      <c r="C3" s="13"/>
      <c r="D3" s="13"/>
    </row>
    <row r="4" spans="1:9" ht="13.5" customHeight="1" x14ac:dyDescent="0.3">
      <c r="A4" t="s">
        <v>285</v>
      </c>
      <c r="B4" s="59">
        <f>$B$3*Assumptions!$H$20</f>
        <v>36750</v>
      </c>
      <c r="C4" s="13"/>
      <c r="D4" s="13"/>
      <c r="E4" s="59"/>
    </row>
    <row r="5" spans="1:9" ht="6.75" customHeight="1" x14ac:dyDescent="0.3">
      <c r="B5" s="59"/>
      <c r="C5" s="13"/>
      <c r="D5" s="13"/>
      <c r="E5" s="59"/>
    </row>
    <row r="6" spans="1:9" ht="13.5" customHeight="1" x14ac:dyDescent="0.3">
      <c r="A6" t="s">
        <v>286</v>
      </c>
      <c r="B6" s="59">
        <f>B3/Assumptions!$H$17</f>
        <v>17.5</v>
      </c>
      <c r="C6" s="13"/>
      <c r="D6" s="13"/>
      <c r="E6" s="59"/>
    </row>
    <row r="7" spans="1:9" ht="13.5" customHeight="1" x14ac:dyDescent="0.3">
      <c r="A7" t="s">
        <v>287</v>
      </c>
      <c r="B7" s="59">
        <f>ROUNDUP(B6/Assumptions!$H$64,0)</f>
        <v>1</v>
      </c>
      <c r="C7" s="13"/>
      <c r="D7" s="13"/>
    </row>
    <row r="8" spans="1:9" ht="6.75" customHeight="1" x14ac:dyDescent="0.3">
      <c r="B8" s="59"/>
      <c r="C8" s="13"/>
      <c r="D8" s="13"/>
    </row>
    <row r="9" spans="1:9" ht="13.5" customHeight="1" x14ac:dyDescent="0.3">
      <c r="A9" t="s">
        <v>288</v>
      </c>
      <c r="B9" s="59">
        <f>$B$2</f>
        <v>175</v>
      </c>
      <c r="C9" s="13"/>
      <c r="D9" s="13"/>
    </row>
    <row r="10" spans="1:9" ht="13.5" customHeight="1" x14ac:dyDescent="0.3">
      <c r="A10" t="s">
        <v>289</v>
      </c>
      <c r="B10" s="59">
        <f>ROUND($B$9/Assumptions!$H$18,0)</f>
        <v>175</v>
      </c>
    </row>
    <row r="11" spans="1:9" ht="13.5" customHeight="1" x14ac:dyDescent="0.3">
      <c r="A11" t="s">
        <v>290</v>
      </c>
      <c r="B11" s="59">
        <f>ROUNDUP($B$10/Assumptions!$H$74,0)</f>
        <v>9</v>
      </c>
    </row>
    <row r="12" spans="1:9" ht="6.75" customHeight="1" x14ac:dyDescent="0.3">
      <c r="B12" s="59"/>
    </row>
    <row r="13" spans="1:9" ht="18" x14ac:dyDescent="0.35">
      <c r="A13" s="58" t="s">
        <v>291</v>
      </c>
      <c r="B13" s="58"/>
      <c r="C13" s="58"/>
      <c r="D13" s="58"/>
      <c r="E13" s="58"/>
      <c r="F13" s="58"/>
      <c r="G13" s="58"/>
      <c r="H13" s="58"/>
      <c r="I13" s="58"/>
    </row>
    <row r="14" spans="1:9" s="13" customFormat="1" x14ac:dyDescent="0.3">
      <c r="A14" s="13" t="s">
        <v>292</v>
      </c>
      <c r="B14" s="13" t="s">
        <v>293</v>
      </c>
      <c r="C14" s="13" t="s">
        <v>294</v>
      </c>
      <c r="D14" s="13" t="s">
        <v>295</v>
      </c>
      <c r="E14" s="13" t="s">
        <v>296</v>
      </c>
      <c r="F14" s="13" t="s">
        <v>297</v>
      </c>
    </row>
    <row r="15" spans="1:9" x14ac:dyDescent="0.3">
      <c r="B15" t="s">
        <v>298</v>
      </c>
      <c r="C15" s="56">
        <f>'Unit Costs'!$G$3*Assumptions!$H$27</f>
        <v>77440</v>
      </c>
      <c r="D15" s="56">
        <f>C15</f>
        <v>77440</v>
      </c>
      <c r="E15" s="56">
        <f>D15/Assumptions!$H$31</f>
        <v>6453.333333333333</v>
      </c>
      <c r="F15" t="s">
        <v>299</v>
      </c>
      <c r="H15" s="57"/>
    </row>
    <row r="16" spans="1:9" x14ac:dyDescent="0.3">
      <c r="B16" t="s">
        <v>300</v>
      </c>
      <c r="C16" s="56">
        <f>('Unit Costs'!$G$4+'Unit Costs'!$G$5)*Assumptions!$H$29*Assumptions!$H$28</f>
        <v>135510</v>
      </c>
      <c r="D16" s="56">
        <f>C16</f>
        <v>135510</v>
      </c>
      <c r="E16" s="56">
        <f>D16/Assumptions!$H$31</f>
        <v>11292.5</v>
      </c>
      <c r="F16" t="s">
        <v>299</v>
      </c>
    </row>
    <row r="17" spans="1:8" ht="15" customHeight="1" x14ac:dyDescent="0.3">
      <c r="B17" t="s">
        <v>569</v>
      </c>
      <c r="C17" s="56">
        <f>(('Unit Costs'!$G$6*Assumptions!$H$28)+('Unit Costs'!$G$7))*Assumptions!$H$30</f>
        <v>54408</v>
      </c>
      <c r="D17" s="56">
        <f>C17</f>
        <v>54408</v>
      </c>
      <c r="E17" s="56">
        <f>D17/Assumptions!$H$31</f>
        <v>4534</v>
      </c>
      <c r="F17" t="s">
        <v>299</v>
      </c>
    </row>
    <row r="18" spans="1:8" x14ac:dyDescent="0.3">
      <c r="B18" t="s">
        <v>302</v>
      </c>
      <c r="C18" s="56">
        <f>'Unit Costs'!$G$3*Assumptions!$H$38</f>
        <v>19360</v>
      </c>
      <c r="D18" s="56">
        <f>IF(Assumptions!$H$10="Home Language",0,$C18)</f>
        <v>19360</v>
      </c>
      <c r="E18" s="56">
        <f>D18/Assumptions!$H$42</f>
        <v>1613.3333333333333</v>
      </c>
      <c r="F18" t="s">
        <v>299</v>
      </c>
    </row>
    <row r="19" spans="1:8" x14ac:dyDescent="0.3">
      <c r="B19" t="s">
        <v>303</v>
      </c>
      <c r="C19" s="56">
        <f>('Unit Costs'!$G$4+'Unit Costs'!$G$5)*Assumptions!$H$39*Assumptions!$H$40</f>
        <v>67755</v>
      </c>
      <c r="D19" s="56">
        <f>IF(Assumptions!$H$10="Home Language",0,$C19)</f>
        <v>67755</v>
      </c>
      <c r="E19" s="56">
        <f>D19/Assumptions!$H$42</f>
        <v>5646.25</v>
      </c>
      <c r="F19" t="s">
        <v>299</v>
      </c>
    </row>
    <row r="20" spans="1:8" x14ac:dyDescent="0.3">
      <c r="B20" t="s">
        <v>558</v>
      </c>
      <c r="C20" s="56">
        <f>(('Unit Costs'!$G$6*Assumptions!$H$39)+('Unit Costs'!$G$7))*Assumptions!$H$41</f>
        <v>45272</v>
      </c>
      <c r="D20" s="56">
        <f>IF(Assumptions!$H$10="Home Language",0,$C20)</f>
        <v>45272</v>
      </c>
      <c r="E20" s="56">
        <f>D20/Assumptions!$H$42</f>
        <v>3772.6666666666665</v>
      </c>
      <c r="F20" t="s">
        <v>299</v>
      </c>
    </row>
    <row r="21" spans="1:8" x14ac:dyDescent="0.3">
      <c r="C21" s="56"/>
      <c r="D21" s="56"/>
      <c r="E21" s="56"/>
    </row>
    <row r="22" spans="1:8" x14ac:dyDescent="0.3">
      <c r="A22" s="13" t="s">
        <v>304</v>
      </c>
      <c r="C22" s="56"/>
      <c r="D22" s="56"/>
      <c r="E22" s="56"/>
      <c r="H22" s="57"/>
    </row>
    <row r="23" spans="1:8" x14ac:dyDescent="0.3">
      <c r="A23" s="13"/>
      <c r="B23" t="s">
        <v>305</v>
      </c>
      <c r="C23" s="56">
        <f>'Unit Costs'!$G$3*Assumptions!$H$32</f>
        <v>19360</v>
      </c>
      <c r="D23" s="56">
        <f>C23</f>
        <v>19360</v>
      </c>
      <c r="E23" s="56">
        <f>D23*Assumptions!$H$36/Assumptions!$H$31</f>
        <v>4840</v>
      </c>
      <c r="F23" t="s">
        <v>299</v>
      </c>
      <c r="H23" s="57"/>
    </row>
    <row r="24" spans="1:8" x14ac:dyDescent="0.3">
      <c r="B24" t="s">
        <v>300</v>
      </c>
      <c r="C24" s="56">
        <f>('Unit Costs'!$G$4+'Unit Costs'!$G$5)*Assumptions!$H$34*Assumptions!$H$33</f>
        <v>135510</v>
      </c>
      <c r="D24" s="56">
        <f>C24</f>
        <v>135510</v>
      </c>
      <c r="E24" s="56">
        <f>D24*Assumptions!$H$36/Assumptions!$H$31</f>
        <v>33877.5</v>
      </c>
      <c r="F24" t="s">
        <v>299</v>
      </c>
    </row>
    <row r="25" spans="1:8" ht="15" customHeight="1" x14ac:dyDescent="0.3">
      <c r="B25" t="s">
        <v>569</v>
      </c>
      <c r="C25" s="56">
        <f>(('Unit Costs'!$G$6*Assumptions!$H$33)+('Unit Costs'!$G$7))*Assumptions!$H$35</f>
        <v>54408</v>
      </c>
      <c r="D25" s="56">
        <f>C25</f>
        <v>54408</v>
      </c>
      <c r="E25" s="56">
        <f>D25*Assumptions!$H$36/Assumptions!$H$31</f>
        <v>13602</v>
      </c>
      <c r="F25" t="s">
        <v>299</v>
      </c>
    </row>
    <row r="26" spans="1:8" x14ac:dyDescent="0.3">
      <c r="B26" t="s">
        <v>306</v>
      </c>
      <c r="C26" s="56">
        <f>'Unit Costs'!$G$3*Assumptions!$H$43</f>
        <v>7744</v>
      </c>
      <c r="D26" s="56">
        <f>IF(Assumptions!$H$10="Home Language",0,$C26)</f>
        <v>7744</v>
      </c>
      <c r="E26" s="56">
        <f>D26*Assumptions!$H$47/Assumptions!$H$42</f>
        <v>1936</v>
      </c>
      <c r="F26" t="s">
        <v>299</v>
      </c>
    </row>
    <row r="27" spans="1:8" x14ac:dyDescent="0.3">
      <c r="B27" t="s">
        <v>303</v>
      </c>
      <c r="C27" s="56">
        <f>('Unit Costs'!$G$4+'Unit Costs'!$G$5)*Assumptions!$H$44*Assumptions!$H$45</f>
        <v>67755</v>
      </c>
      <c r="D27" s="56">
        <f>IF(Assumptions!$H$10="Home Language",0,$C27)</f>
        <v>67755</v>
      </c>
      <c r="E27" s="56">
        <f>D27*Assumptions!$H$47/Assumptions!$H$42</f>
        <v>16938.75</v>
      </c>
      <c r="F27" t="s">
        <v>299</v>
      </c>
    </row>
    <row r="28" spans="1:8" x14ac:dyDescent="0.3">
      <c r="B28" t="s">
        <v>558</v>
      </c>
      <c r="C28" s="56">
        <f>(('Unit Costs'!$G$6*Assumptions!$H$44)+('Unit Costs'!$G$7))*Assumptions!$H$46</f>
        <v>45272</v>
      </c>
      <c r="D28" s="56">
        <f>IF(Assumptions!$H$10="Home Language",0,$C28)</f>
        <v>45272</v>
      </c>
      <c r="E28" s="56">
        <f>D28*Assumptions!$H$47/Assumptions!$H$42</f>
        <v>11318</v>
      </c>
      <c r="F28" t="s">
        <v>299</v>
      </c>
    </row>
    <row r="29" spans="1:8" x14ac:dyDescent="0.3">
      <c r="C29" s="56"/>
      <c r="D29" s="56"/>
      <c r="E29" s="56"/>
    </row>
    <row r="30" spans="1:8" x14ac:dyDescent="0.3">
      <c r="A30" s="13" t="s">
        <v>307</v>
      </c>
      <c r="C30" s="56"/>
      <c r="D30" s="56"/>
      <c r="E30" s="56"/>
    </row>
    <row r="31" spans="1:8" x14ac:dyDescent="0.3">
      <c r="A31" s="13"/>
      <c r="B31" t="s">
        <v>308</v>
      </c>
      <c r="C31" s="56">
        <f>'Unit Costs'!$G$10</f>
        <v>150000</v>
      </c>
      <c r="D31" s="56">
        <f>IF(Assumptions!$H$13="Yes",$C31,0)</f>
        <v>0</v>
      </c>
      <c r="E31" s="56">
        <f>D31</f>
        <v>0</v>
      </c>
      <c r="F31" t="s">
        <v>299</v>
      </c>
    </row>
    <row r="33" spans="1:6" x14ac:dyDescent="0.3">
      <c r="A33" s="13" t="s">
        <v>309</v>
      </c>
      <c r="C33" s="56"/>
      <c r="D33" s="56"/>
      <c r="E33" s="56"/>
    </row>
    <row r="34" spans="1:6" x14ac:dyDescent="0.3">
      <c r="A34" s="13"/>
      <c r="B34" t="s">
        <v>310</v>
      </c>
      <c r="C34" s="56">
        <f>'Unit Costs'!$G$13</f>
        <v>1505</v>
      </c>
      <c r="D34" s="56">
        <f>C34</f>
        <v>1505</v>
      </c>
      <c r="E34" s="56">
        <f>D34/Assumptions!$H$50</f>
        <v>752.5</v>
      </c>
      <c r="F34" t="s">
        <v>311</v>
      </c>
    </row>
    <row r="35" spans="1:6" x14ac:dyDescent="0.3">
      <c r="B35" t="s">
        <v>312</v>
      </c>
      <c r="C35" s="56">
        <f>'Unit Costs'!$G$16</f>
        <v>811</v>
      </c>
      <c r="D35" s="56">
        <f>IF(Assumptions!$H$10="Home Language",0,$C35)</f>
        <v>811</v>
      </c>
      <c r="E35" s="56">
        <f>D35/Assumptions!$H$50</f>
        <v>405.5</v>
      </c>
      <c r="F35" t="s">
        <v>311</v>
      </c>
    </row>
    <row r="36" spans="1:6" x14ac:dyDescent="0.3">
      <c r="C36" s="56"/>
      <c r="D36" s="56"/>
      <c r="E36" s="56"/>
    </row>
    <row r="37" spans="1:6" x14ac:dyDescent="0.3">
      <c r="A37" s="13" t="s">
        <v>313</v>
      </c>
      <c r="C37" s="56"/>
      <c r="D37" s="56"/>
      <c r="E37" s="56"/>
    </row>
    <row r="38" spans="1:6" x14ac:dyDescent="0.3">
      <c r="A38" s="13"/>
      <c r="B38" t="s">
        <v>314</v>
      </c>
      <c r="C38" s="56">
        <f>'Unit Costs'!$G$12</f>
        <v>615</v>
      </c>
      <c r="D38" s="56">
        <f>IF(Assumptions!$H$13="Yes",0,$C38)</f>
        <v>615</v>
      </c>
      <c r="E38" s="56">
        <f>D38/Assumptions!$H$50</f>
        <v>307.5</v>
      </c>
      <c r="F38" t="s">
        <v>311</v>
      </c>
    </row>
    <row r="39" spans="1:6" x14ac:dyDescent="0.3">
      <c r="B39" t="s">
        <v>315</v>
      </c>
      <c r="C39" s="56">
        <f>'Unit Costs'!$G$15</f>
        <v>331</v>
      </c>
      <c r="D39" s="56">
        <f>IF(OR(Assumptions!$H$13="Yes", Assumptions!$H$10="Home Language"),0,$C39)</f>
        <v>331</v>
      </c>
      <c r="E39" s="56">
        <f>D39/Assumptions!$H$50</f>
        <v>165.5</v>
      </c>
      <c r="F39" t="s">
        <v>311</v>
      </c>
    </row>
    <row r="40" spans="1:6" x14ac:dyDescent="0.3">
      <c r="C40" s="56"/>
      <c r="D40" s="56"/>
      <c r="E40" s="56"/>
    </row>
    <row r="41" spans="1:6" x14ac:dyDescent="0.3">
      <c r="A41" s="13" t="s">
        <v>316</v>
      </c>
      <c r="C41" s="56"/>
      <c r="D41" s="56"/>
      <c r="E41" s="56"/>
    </row>
    <row r="42" spans="1:6" x14ac:dyDescent="0.3">
      <c r="A42" s="13"/>
      <c r="B42" t="s">
        <v>199</v>
      </c>
      <c r="C42" s="56">
        <f>'Unit Costs'!$G$18</f>
        <v>2839</v>
      </c>
      <c r="D42" s="56">
        <f>IF(Assumptions!$H$13="Yes",$C42,0)</f>
        <v>0</v>
      </c>
      <c r="E42" s="56">
        <f>D42/Assumptions!$H$50</f>
        <v>0</v>
      </c>
      <c r="F42" t="s">
        <v>311</v>
      </c>
    </row>
    <row r="43" spans="1:6" x14ac:dyDescent="0.3">
      <c r="B43" t="s">
        <v>203</v>
      </c>
      <c r="C43" s="56">
        <f>'Unit Costs'!$G$19</f>
        <v>900</v>
      </c>
      <c r="D43" s="56">
        <f>IF(Assumptions!$H$13="Yes",$C43,0)</f>
        <v>0</v>
      </c>
      <c r="E43" s="56">
        <f>D43</f>
        <v>0</v>
      </c>
      <c r="F43" t="s">
        <v>311</v>
      </c>
    </row>
    <row r="45" spans="1:6" x14ac:dyDescent="0.3">
      <c r="A45" s="13" t="s">
        <v>16</v>
      </c>
      <c r="C45" s="56"/>
      <c r="D45" s="56"/>
      <c r="E45" s="56"/>
    </row>
    <row r="46" spans="1:6" x14ac:dyDescent="0.3">
      <c r="A46" s="13"/>
      <c r="B46" t="s">
        <v>317</v>
      </c>
      <c r="C46" s="56">
        <f>'Unit Costs'!$G$37*(Assumptions!$H$55*Assumptions!$H$56)</f>
        <v>1239</v>
      </c>
      <c r="D46" s="56">
        <f t="shared" ref="D46:E50" si="0">C46</f>
        <v>1239</v>
      </c>
      <c r="E46" s="56">
        <f t="shared" si="0"/>
        <v>1239</v>
      </c>
      <c r="F46" t="s">
        <v>311</v>
      </c>
    </row>
    <row r="47" spans="1:6" x14ac:dyDescent="0.3">
      <c r="A47" s="13"/>
      <c r="B47" t="s">
        <v>318</v>
      </c>
      <c r="C47" s="56">
        <f>(Assumptions!$H$55-1)*Assumptions!$H$56*'Unit Costs'!$G$34</f>
        <v>2880</v>
      </c>
      <c r="D47" s="56">
        <f>C47</f>
        <v>2880</v>
      </c>
      <c r="E47" s="56">
        <f>D47</f>
        <v>2880</v>
      </c>
      <c r="F47" t="s">
        <v>311</v>
      </c>
    </row>
    <row r="48" spans="1:6" x14ac:dyDescent="0.3">
      <c r="B48" t="s">
        <v>319</v>
      </c>
      <c r="C48" s="56">
        <f>'Unit Costs'!$G$37*(Assumptions!$H$57*Assumptions!$H$58)</f>
        <v>2478</v>
      </c>
      <c r="D48" s="56">
        <f t="shared" si="0"/>
        <v>2478</v>
      </c>
      <c r="E48" s="56">
        <f t="shared" si="0"/>
        <v>2478</v>
      </c>
      <c r="F48" t="s">
        <v>311</v>
      </c>
    </row>
    <row r="49" spans="1:9" x14ac:dyDescent="0.3">
      <c r="B49" t="s">
        <v>320</v>
      </c>
      <c r="C49" s="56">
        <f>(Assumptions!$H$57-1)*Assumptions!$H$58*'Unit Costs'!$G$34</f>
        <v>4320</v>
      </c>
      <c r="D49" s="56">
        <f>C49</f>
        <v>4320</v>
      </c>
      <c r="E49" s="56">
        <f>D49</f>
        <v>4320</v>
      </c>
      <c r="F49" t="s">
        <v>311</v>
      </c>
    </row>
    <row r="50" spans="1:9" x14ac:dyDescent="0.3">
      <c r="B50" t="s">
        <v>321</v>
      </c>
      <c r="C50" s="56">
        <f>'Unit Costs'!$G$38*Assumptions!$H$59*Assumptions!$H$60</f>
        <v>0</v>
      </c>
      <c r="D50" s="56">
        <f t="shared" si="0"/>
        <v>0</v>
      </c>
      <c r="E50" s="56">
        <f t="shared" si="0"/>
        <v>0</v>
      </c>
      <c r="F50" t="s">
        <v>311</v>
      </c>
    </row>
    <row r="51" spans="1:9" x14ac:dyDescent="0.3">
      <c r="B51" s="149" t="s">
        <v>322</v>
      </c>
      <c r="C51" s="56">
        <f>'Unit Costs'!$G$31*ROUNDUP($B$3/Assumptions!$H$53,0)*(Assumptions!$H$55*Assumptions!$H$56+Assumptions!$H$57*Assumptions!$H$58)/$B$3</f>
        <v>696.96</v>
      </c>
      <c r="D51" s="56">
        <f>IF(Assumptions!$H$11 = "Yes", C51*Assumptions!$H$54, C51)</f>
        <v>174.24</v>
      </c>
      <c r="E51" s="56">
        <f>D51</f>
        <v>174.24</v>
      </c>
      <c r="F51" t="s">
        <v>311</v>
      </c>
      <c r="G51" t="s">
        <v>323</v>
      </c>
    </row>
    <row r="53" spans="1:9" ht="18" x14ac:dyDescent="0.35">
      <c r="A53" s="58" t="s">
        <v>324</v>
      </c>
      <c r="B53" s="58"/>
      <c r="C53" s="58"/>
      <c r="D53" s="58"/>
      <c r="E53" s="58"/>
      <c r="F53" s="58"/>
      <c r="G53" s="58"/>
      <c r="H53" s="58"/>
      <c r="I53" s="58"/>
    </row>
    <row r="54" spans="1:9" ht="15.6" x14ac:dyDescent="0.3">
      <c r="A54" s="13" t="s">
        <v>325</v>
      </c>
      <c r="B54" s="13"/>
      <c r="C54" s="13"/>
      <c r="D54" s="13"/>
      <c r="E54" s="13"/>
      <c r="F54" s="13"/>
      <c r="H54" s="60"/>
    </row>
    <row r="55" spans="1:9" x14ac:dyDescent="0.3">
      <c r="A55" s="68" t="s">
        <v>326</v>
      </c>
      <c r="B55" t="s">
        <v>327</v>
      </c>
      <c r="C55" s="56">
        <f>'Unit Costs'!$G$21*'Unit Costs'!$E$21</f>
        <v>61950.119999999995</v>
      </c>
      <c r="D55" s="56">
        <f>IF(AND(Assumptions!$H$11="Yes",OR(Assumptions!$H$12=Lists!$AB$2,Assumptions!$H$12=Lists!$AB$3)), C55, 0)</f>
        <v>61950.119999999995</v>
      </c>
      <c r="E55" s="56">
        <f>D55/Assumptions!$H$66</f>
        <v>12390.023999999999</v>
      </c>
      <c r="F55" t="s">
        <v>366</v>
      </c>
      <c r="H55" s="59"/>
    </row>
    <row r="56" spans="1:9" x14ac:dyDescent="0.3">
      <c r="A56" s="68"/>
      <c r="B56" t="s">
        <v>329</v>
      </c>
      <c r="C56" s="56">
        <f>'Unit Costs'!$G$44</f>
        <v>7744</v>
      </c>
      <c r="D56" s="56">
        <f>IF(AND(Assumptions!$H$11="Yes",OR(Assumptions!$H$12=Lists!$AB$2,Assumptions!$H$12=Lists!$AB$3)), C56, 0)</f>
        <v>7744</v>
      </c>
      <c r="E56" s="56">
        <f>D56/Assumptions!$H$67</f>
        <v>1548.8</v>
      </c>
      <c r="F56" t="s">
        <v>366</v>
      </c>
    </row>
    <row r="57" spans="1:9" x14ac:dyDescent="0.3">
      <c r="A57" s="68"/>
      <c r="B57" t="s">
        <v>330</v>
      </c>
      <c r="C57" s="56">
        <f>'Unit Costs'!$G$24</f>
        <v>38719</v>
      </c>
      <c r="D57" s="56">
        <f>IF(AND(Assumptions!$H$11="Yes",OR(Assumptions!$H$12=Lists!$AB$2,Assumptions!$H$12=Lists!$AB$3)), C57, 0)</f>
        <v>38719</v>
      </c>
      <c r="E57" s="56">
        <f>D57/Assumptions!$H$66</f>
        <v>7743.8</v>
      </c>
      <c r="F57" t="s">
        <v>366</v>
      </c>
    </row>
    <row r="58" spans="1:9" x14ac:dyDescent="0.3">
      <c r="A58" s="68"/>
      <c r="B58" t="s">
        <v>331</v>
      </c>
      <c r="C58" s="56">
        <f>Assumptions!$H$69*'Unit Costs'!$G$26</f>
        <v>3225</v>
      </c>
      <c r="D58" s="56">
        <f>IF(AND(Assumptions!$H$11="Yes",OR(Assumptions!$H$12=Lists!$AB$2,Assumptions!$H$12=Lists!$AB$3)), C58, 0)</f>
        <v>3225</v>
      </c>
      <c r="E58" s="56">
        <f>D58/Assumptions!$H$66</f>
        <v>645</v>
      </c>
      <c r="F58" t="s">
        <v>366</v>
      </c>
    </row>
    <row r="59" spans="1:9" x14ac:dyDescent="0.3">
      <c r="A59" s="68"/>
      <c r="B59" t="s">
        <v>332</v>
      </c>
      <c r="C59" s="56">
        <f>(Assumptions!$H$69-1)*'Unit Costs'!$G$27</f>
        <v>5760</v>
      </c>
      <c r="D59" s="56">
        <f>IF(AND(Assumptions!$H$11="Yes",OR(Assumptions!$H$12=Lists!$AB$2,Assumptions!$H$12=Lists!$AB$3)), C59, 0)</f>
        <v>5760</v>
      </c>
      <c r="E59" s="56">
        <f>D59/Assumptions!$H$66</f>
        <v>1152</v>
      </c>
      <c r="F59" t="s">
        <v>366</v>
      </c>
    </row>
    <row r="60" spans="1:9" x14ac:dyDescent="0.3">
      <c r="A60" s="68"/>
      <c r="B60" s="149" t="s">
        <v>555</v>
      </c>
      <c r="C60" s="56">
        <f>'Unit Costs'!$G$32*ROUNDUP($B$6/Assumptions!$H$64,0)*Assumptions!C$69/($B$6)</f>
        <v>1843.7142857142858</v>
      </c>
      <c r="D60" s="56">
        <f>IF(AND(Assumptions!$H$11="Yes",OR(Assumptions!$H$12=Lists!$AB$2,Assumptions!$H$12=Lists!$AB$3)), C60, 0)*Assumptions!$G$65</f>
        <v>0</v>
      </c>
      <c r="E60" s="56">
        <f>D60/Assumptions!$H$66</f>
        <v>0</v>
      </c>
      <c r="F60" t="s">
        <v>366</v>
      </c>
    </row>
    <row r="61" spans="1:9" x14ac:dyDescent="0.3">
      <c r="A61" s="68"/>
    </row>
    <row r="62" spans="1:9" x14ac:dyDescent="0.3">
      <c r="A62" s="68" t="s">
        <v>334</v>
      </c>
      <c r="B62" t="s">
        <v>571</v>
      </c>
      <c r="C62" s="56">
        <f>'Unit Costs'!$G$29</f>
        <v>516251</v>
      </c>
      <c r="D62" s="56">
        <f>IF(AND(Assumptions!$H$11="Yes",OR(Assumptions!$H$12=Lists!$AB$2,Assumptions!$H$12=Lists!$AB$3)), C62, 0)</f>
        <v>516251</v>
      </c>
      <c r="E62" s="56">
        <f t="shared" ref="E62:E67" si="1">D62</f>
        <v>516251</v>
      </c>
      <c r="F62" t="s">
        <v>366</v>
      </c>
    </row>
    <row r="63" spans="1:9" x14ac:dyDescent="0.3">
      <c r="A63" s="68"/>
      <c r="B63" t="s">
        <v>336</v>
      </c>
      <c r="C63" s="56">
        <f>'Unit Costs'!$G$30*$B$7/$B$6</f>
        <v>35400.057142857142</v>
      </c>
      <c r="D63" s="56">
        <f>IF(AND(Assumptions!$H$11="Yes",OR(Assumptions!$H$12=Lists!$AB$2,Assumptions!$H$12=Lists!$AB$3)), C63, 0)</f>
        <v>35400.057142857142</v>
      </c>
      <c r="E63" s="56">
        <f t="shared" si="1"/>
        <v>35400.057142857142</v>
      </c>
      <c r="F63" t="s">
        <v>366</v>
      </c>
    </row>
    <row r="64" spans="1:9" x14ac:dyDescent="0.3">
      <c r="A64" s="68"/>
      <c r="B64" t="s">
        <v>337</v>
      </c>
      <c r="C64" s="56">
        <f>'Unit Costs'!$G$40</f>
        <v>4337</v>
      </c>
      <c r="D64" s="56">
        <f>IF(AND(Assumptions!$H$11="Yes",OR(Assumptions!$H$12=Lists!$AB$2,Assumptions!$H$12=Lists!$AB$3)), C64, 0)</f>
        <v>4337</v>
      </c>
      <c r="E64" s="56">
        <f t="shared" si="1"/>
        <v>4337</v>
      </c>
      <c r="F64" t="s">
        <v>366</v>
      </c>
    </row>
    <row r="65" spans="1:8" x14ac:dyDescent="0.3">
      <c r="A65" s="68"/>
      <c r="B65" t="s">
        <v>338</v>
      </c>
      <c r="C65" s="56">
        <f>4*(Assumptions!$H$70*'Unit Costs'!$G$26)</f>
        <v>5160</v>
      </c>
      <c r="D65" s="56">
        <f>IF(AND(Assumptions!$H$11="Yes",OR(Assumptions!$H$12=Lists!$AB$2,Assumptions!$H$12=Lists!$AB$3)), C65, 0)</f>
        <v>5160</v>
      </c>
      <c r="E65" s="56">
        <f t="shared" si="1"/>
        <v>5160</v>
      </c>
      <c r="F65" t="s">
        <v>366</v>
      </c>
    </row>
    <row r="66" spans="1:8" x14ac:dyDescent="0.3">
      <c r="A66" s="68"/>
      <c r="B66" t="s">
        <v>339</v>
      </c>
      <c r="C66" s="56">
        <f>4*((Assumptions!$H$70-1)*'Unit Costs'!$G$27)</f>
        <v>5760</v>
      </c>
      <c r="D66" s="56">
        <f>IF(AND(Assumptions!$H$11="Yes",OR(Assumptions!$H$12=Lists!$AB$2,Assumptions!$H$12=Lists!$AB$3)), C66, 0)</f>
        <v>5760</v>
      </c>
      <c r="E66" s="56">
        <f t="shared" si="1"/>
        <v>5760</v>
      </c>
      <c r="F66" t="s">
        <v>366</v>
      </c>
    </row>
    <row r="67" spans="1:8" x14ac:dyDescent="0.3">
      <c r="A67" s="68"/>
      <c r="B67" s="149" t="s">
        <v>340</v>
      </c>
      <c r="C67" s="56">
        <f>4*'Unit Costs'!$G$32*ROUNDUP($B$6/Assumptions!$H$64,0)*Assumptions!$H$70/($B$6)</f>
        <v>2949.9428571428571</v>
      </c>
      <c r="D67" s="56">
        <f>IF(AND(Assumptions!$H$11="Yes",OR(Assumptions!$H$12=Lists!$AB$2,Assumptions!$H$12=Lists!$AB$3)), C67, 0)*Assumptions!$G$65</f>
        <v>0</v>
      </c>
      <c r="E67" s="56">
        <f t="shared" si="1"/>
        <v>0</v>
      </c>
      <c r="F67" t="s">
        <v>366</v>
      </c>
    </row>
    <row r="68" spans="1:8" x14ac:dyDescent="0.3">
      <c r="A68" s="68"/>
    </row>
    <row r="69" spans="1:8" x14ac:dyDescent="0.3">
      <c r="A69" s="68" t="s">
        <v>341</v>
      </c>
      <c r="B69" s="63" t="s">
        <v>342</v>
      </c>
      <c r="C69" s="64">
        <f>'Unit Costs'!$G$41</f>
        <v>69694</v>
      </c>
      <c r="D69" s="64">
        <f>IF(AND(Assumptions!$H$11="Yes",Assumptions!$H$12=Lists!$AB$2), C69, 0)</f>
        <v>69694</v>
      </c>
      <c r="E69" s="64">
        <f>D69</f>
        <v>69694</v>
      </c>
      <c r="F69" t="s">
        <v>366</v>
      </c>
      <c r="G69" t="s">
        <v>343</v>
      </c>
    </row>
    <row r="70" spans="1:8" x14ac:dyDescent="0.3">
      <c r="A70" s="68"/>
      <c r="B70" s="63" t="s">
        <v>557</v>
      </c>
      <c r="C70" s="64">
        <f>'Unit Costs'!$G$42</f>
        <v>30975</v>
      </c>
      <c r="D70" s="64">
        <f>IF(AND(Assumptions!$H$11="Yes",Assumptions!$H$12=Lists!$AB$2), C70, 0)</f>
        <v>30975</v>
      </c>
      <c r="E70" s="64">
        <f>D70</f>
        <v>30975</v>
      </c>
      <c r="F70" t="s">
        <v>366</v>
      </c>
    </row>
    <row r="71" spans="1:8" x14ac:dyDescent="0.3">
      <c r="A71" s="68"/>
      <c r="C71" s="56"/>
      <c r="D71" s="56"/>
      <c r="E71" s="56"/>
    </row>
    <row r="72" spans="1:8" x14ac:dyDescent="0.3">
      <c r="A72" s="68" t="s">
        <v>345</v>
      </c>
      <c r="B72" t="s">
        <v>346</v>
      </c>
      <c r="C72" s="56">
        <f>'Unit Costs'!$G$43</f>
        <v>10067</v>
      </c>
      <c r="D72" s="56">
        <f>IF(AND(Assumptions!$H$11="Yes",Assumptions!$H$12=Lists!$AB$3),C72,0)</f>
        <v>0</v>
      </c>
      <c r="E72" s="56">
        <f>D72</f>
        <v>0</v>
      </c>
      <c r="F72" t="s">
        <v>366</v>
      </c>
    </row>
    <row r="73" spans="1:8" x14ac:dyDescent="0.3">
      <c r="A73" s="68"/>
      <c r="C73" s="56"/>
      <c r="D73" s="56"/>
      <c r="E73" s="56"/>
    </row>
    <row r="74" spans="1:8" x14ac:dyDescent="0.3">
      <c r="A74" s="68"/>
    </row>
    <row r="75" spans="1:8" ht="15.6" x14ac:dyDescent="0.3">
      <c r="A75" s="13" t="s">
        <v>347</v>
      </c>
      <c r="B75" s="13"/>
      <c r="C75" s="13"/>
      <c r="D75" s="13"/>
      <c r="E75" s="13"/>
      <c r="F75" s="13"/>
      <c r="H75" s="60"/>
    </row>
    <row r="76" spans="1:8" x14ac:dyDescent="0.3">
      <c r="A76" s="68" t="s">
        <v>326</v>
      </c>
      <c r="B76" t="s">
        <v>348</v>
      </c>
      <c r="C76" s="56">
        <f>'Unit Costs'!$G$21*'Unit Costs'!$E$21</f>
        <v>61950.119999999995</v>
      </c>
      <c r="D76" s="56">
        <f>IF(AND(Assumptions!$H$11="Yes",Assumptions!$H$12=Lists!$AB$4), C76, 0)</f>
        <v>0</v>
      </c>
      <c r="E76" s="56">
        <f>D76/Assumptions!$H$75</f>
        <v>0</v>
      </c>
      <c r="F76" t="s">
        <v>572</v>
      </c>
      <c r="H76" s="59"/>
    </row>
    <row r="77" spans="1:8" x14ac:dyDescent="0.3">
      <c r="A77" s="68"/>
      <c r="B77" t="s">
        <v>350</v>
      </c>
      <c r="C77" s="56">
        <f>'Unit Costs'!$G$44</f>
        <v>7744</v>
      </c>
      <c r="D77" s="56">
        <f>IF(AND(Assumptions!$H$11="Yes",Assumptions!$H$12=Lists!$AB$4), C77, 0)</f>
        <v>0</v>
      </c>
      <c r="E77" s="56">
        <f>D77/Assumptions!$H$76</f>
        <v>0</v>
      </c>
      <c r="F77" t="s">
        <v>572</v>
      </c>
    </row>
    <row r="78" spans="1:8" x14ac:dyDescent="0.3">
      <c r="A78" s="68"/>
      <c r="B78" t="s">
        <v>330</v>
      </c>
      <c r="C78" s="56">
        <f>'Unit Costs'!$G$24</f>
        <v>38719</v>
      </c>
      <c r="D78" s="56">
        <f>IF(AND(Assumptions!$H$11="Yes",Assumptions!$H$12=Lists!$AB$4), C78, 0)</f>
        <v>0</v>
      </c>
      <c r="E78" s="56">
        <f>D78/Assumptions!$H$75</f>
        <v>0</v>
      </c>
      <c r="F78" t="s">
        <v>572</v>
      </c>
    </row>
    <row r="79" spans="1:8" x14ac:dyDescent="0.3">
      <c r="A79" s="68"/>
      <c r="B79" t="s">
        <v>351</v>
      </c>
      <c r="C79" s="56">
        <f>Assumptions!$H$69*'Unit Costs'!$G$26</f>
        <v>3225</v>
      </c>
      <c r="D79" s="56">
        <f>IF(AND(Assumptions!$H$11="Yes",Assumptions!$H$12=Lists!$AB$4), C79, 0)</f>
        <v>0</v>
      </c>
      <c r="E79" s="56">
        <f>D79/Assumptions!$H$75</f>
        <v>0</v>
      </c>
      <c r="F79" t="s">
        <v>572</v>
      </c>
    </row>
    <row r="80" spans="1:8" x14ac:dyDescent="0.3">
      <c r="A80" s="68"/>
      <c r="B80" t="s">
        <v>352</v>
      </c>
      <c r="C80" s="56">
        <f>(Assumptions!$H$69-1)*'Unit Costs'!$G$27</f>
        <v>5760</v>
      </c>
      <c r="D80" s="56">
        <f>IF(AND(Assumptions!$H$11="Yes",Assumptions!$H$12=Lists!$AB$4), C80, 0)</f>
        <v>0</v>
      </c>
      <c r="E80" s="56">
        <f>D80/Assumptions!$H$75</f>
        <v>0</v>
      </c>
      <c r="F80" t="s">
        <v>572</v>
      </c>
    </row>
    <row r="81" spans="1:6" x14ac:dyDescent="0.3">
      <c r="A81" s="68"/>
      <c r="B81" s="149" t="s">
        <v>353</v>
      </c>
      <c r="C81" s="56">
        <f>'Unit Costs'!$G$32*ROUNDUP($B$9/Assumptions!$H$74,0)*Assumptions!$H$80*Assumptions!$H$81/($B$9)</f>
        <v>0</v>
      </c>
      <c r="D81" s="56">
        <f>IF(AND(Assumptions!$H$11="Yes",Assumptions!$H$12=Lists!$AB$4), C81, 0)*Assumptions!$G$79</f>
        <v>0</v>
      </c>
      <c r="E81" s="56">
        <f>D81/Assumptions!$H$75</f>
        <v>0</v>
      </c>
      <c r="F81" t="s">
        <v>572</v>
      </c>
    </row>
    <row r="82" spans="1:6" x14ac:dyDescent="0.3">
      <c r="A82" s="68"/>
    </row>
    <row r="83" spans="1:6" x14ac:dyDescent="0.3">
      <c r="A83" s="68" t="s">
        <v>354</v>
      </c>
      <c r="B83" t="s">
        <v>575</v>
      </c>
      <c r="C83" s="56">
        <f>'Unit Costs'!$G$29</f>
        <v>516251</v>
      </c>
      <c r="D83" s="56">
        <f>IF(AND(Assumptions!$H$11="Yes",Assumptions!$H$12=Lists!$AB$4), C83, 0)</f>
        <v>0</v>
      </c>
      <c r="E83" s="56">
        <f t="shared" ref="E83:E88" si="2">D83</f>
        <v>0</v>
      </c>
      <c r="F83" t="s">
        <v>572</v>
      </c>
    </row>
    <row r="84" spans="1:6" x14ac:dyDescent="0.3">
      <c r="A84" s="68"/>
      <c r="B84" t="s">
        <v>356</v>
      </c>
      <c r="C84" s="56">
        <f>'Unit Costs'!$G$30*$B$11/$B$10</f>
        <v>31860.051428571427</v>
      </c>
      <c r="D84" s="56">
        <f>IF(AND(Assumptions!$H$11="Yes",Assumptions!$H$12=Lists!$AB$4), C84, 0)</f>
        <v>0</v>
      </c>
      <c r="E84" s="56">
        <f t="shared" si="2"/>
        <v>0</v>
      </c>
      <c r="F84" t="s">
        <v>572</v>
      </c>
    </row>
    <row r="85" spans="1:6" x14ac:dyDescent="0.3">
      <c r="A85" s="68"/>
      <c r="B85" t="s">
        <v>337</v>
      </c>
      <c r="C85" s="56">
        <f>'Unit Costs'!$G$40</f>
        <v>4337</v>
      </c>
      <c r="D85" s="56">
        <f>IF(AND(Assumptions!$H$11="Yes",Assumptions!$H$12=Lists!$AB$4), C85, 0)</f>
        <v>0</v>
      </c>
      <c r="E85" s="56">
        <f t="shared" si="2"/>
        <v>0</v>
      </c>
      <c r="F85" t="s">
        <v>572</v>
      </c>
    </row>
    <row r="86" spans="1:6" x14ac:dyDescent="0.3">
      <c r="A86" s="68"/>
      <c r="B86" t="s">
        <v>357</v>
      </c>
      <c r="C86" s="56">
        <f>4*(Assumptions!$H$70*'Unit Costs'!$G$26)</f>
        <v>5160</v>
      </c>
      <c r="D86" s="56">
        <f>IF(AND(Assumptions!$H$11="Yes",Assumptions!$H$12=Lists!$AB$4), C86, 0)</f>
        <v>0</v>
      </c>
      <c r="E86" s="56">
        <f t="shared" si="2"/>
        <v>0</v>
      </c>
      <c r="F86" t="s">
        <v>572</v>
      </c>
    </row>
    <row r="87" spans="1:6" x14ac:dyDescent="0.3">
      <c r="A87" s="68"/>
      <c r="B87" t="s">
        <v>358</v>
      </c>
      <c r="C87" s="56">
        <f>4*((Assumptions!$H$70-1)*'Unit Costs'!$G$27)</f>
        <v>5760</v>
      </c>
      <c r="D87" s="56">
        <f>IF(AND(Assumptions!$H$11="Yes",Assumptions!$H$12=Lists!$AB$4), C87, 0)</f>
        <v>0</v>
      </c>
      <c r="E87" s="56">
        <f t="shared" si="2"/>
        <v>0</v>
      </c>
      <c r="F87" t="s">
        <v>572</v>
      </c>
    </row>
    <row r="88" spans="1:6" x14ac:dyDescent="0.3">
      <c r="A88" s="68"/>
      <c r="B88" s="149" t="s">
        <v>359</v>
      </c>
      <c r="C88" s="56">
        <f>'Unit Costs'!$G$32*ROUNDUP($B$9/Assumptions!$H$74,0)*Assumptions!$H$82*Assumptions!$H$83/($B$9)</f>
        <v>0</v>
      </c>
      <c r="D88" s="56">
        <f>IF(AND(Assumptions!$H$11="Yes",Assumptions!$H$12=Lists!$AB$4), C88, 0)*Assumptions!$G$79</f>
        <v>0</v>
      </c>
      <c r="E88" s="56">
        <f t="shared" si="2"/>
        <v>0</v>
      </c>
      <c r="F88" t="s">
        <v>572</v>
      </c>
    </row>
    <row r="89" spans="1:6" x14ac:dyDescent="0.3">
      <c r="A89" s="68"/>
    </row>
    <row r="90" spans="1:6" x14ac:dyDescent="0.3">
      <c r="A90" s="68" t="s">
        <v>360</v>
      </c>
      <c r="B90" s="63" t="s">
        <v>361</v>
      </c>
      <c r="C90" s="64">
        <f>'Unit Costs'!$G$41</f>
        <v>69694</v>
      </c>
      <c r="D90" s="56">
        <f>IF(AND(Assumptions!$H$11="Yes",Assumptions!$H$12=Lists!$AB$4), C90, 0)</f>
        <v>0</v>
      </c>
      <c r="E90" s="64">
        <f>D90</f>
        <v>0</v>
      </c>
      <c r="F90" t="s">
        <v>572</v>
      </c>
    </row>
    <row r="91" spans="1:6" x14ac:dyDescent="0.3">
      <c r="A91" s="68"/>
      <c r="B91" s="63" t="s">
        <v>557</v>
      </c>
      <c r="C91" s="64">
        <f>'Unit Costs'!$G$42</f>
        <v>30975</v>
      </c>
      <c r="D91" s="56">
        <f>IF(AND(Assumptions!$H$11="Yes",Assumptions!$H$12=Lists!$AB$4), C91, 0)</f>
        <v>0</v>
      </c>
      <c r="E91" s="64">
        <f>D91</f>
        <v>0</v>
      </c>
      <c r="F91" t="s">
        <v>572</v>
      </c>
    </row>
    <row r="92" spans="1:6" x14ac:dyDescent="0.3">
      <c r="A92" s="68"/>
      <c r="D92" s="56"/>
    </row>
    <row r="93" spans="1:6" x14ac:dyDescent="0.3">
      <c r="A93" s="68"/>
      <c r="D93" s="56"/>
    </row>
    <row r="94" spans="1:6" x14ac:dyDescent="0.3">
      <c r="A94" s="68" t="s">
        <v>362</v>
      </c>
      <c r="B94" t="s">
        <v>363</v>
      </c>
      <c r="C94" s="56">
        <f>(('Unit Costs'!$G$35+(Assumptions!$H$80-2)*'Unit Costs'!$G$36)*Assumptions!$H$81)*$B$9/$B$10</f>
        <v>0</v>
      </c>
      <c r="D94" s="56">
        <f>IF(AND(Assumptions!$H$11="Yes",Assumptions!$H$12=Lists!$AB$4),C94,0)</f>
        <v>0</v>
      </c>
      <c r="E94" s="56">
        <f>D94</f>
        <v>0</v>
      </c>
      <c r="F94" t="s">
        <v>572</v>
      </c>
    </row>
    <row r="95" spans="1:6" x14ac:dyDescent="0.3">
      <c r="A95" s="68"/>
      <c r="B95" t="s">
        <v>364</v>
      </c>
      <c r="C95" s="56">
        <f>(('Unit Costs'!$G$35+(Assumptions!$H$82-2)*'Unit Costs'!$G$36)*Assumptions!$H$83)*$B$9/$B$10</f>
        <v>0</v>
      </c>
      <c r="D95" s="56">
        <f>IF(AND(Assumptions!$H$11="Yes",Assumptions!$H$12=Lists!$AB$4),C95,0)</f>
        <v>0</v>
      </c>
      <c r="E95" s="56">
        <f>D95</f>
        <v>0</v>
      </c>
      <c r="F95" t="s">
        <v>572</v>
      </c>
    </row>
    <row r="96" spans="1:6" x14ac:dyDescent="0.3">
      <c r="A96" s="68"/>
      <c r="C96" s="56"/>
      <c r="D96" s="56"/>
      <c r="E96" s="56"/>
    </row>
    <row r="98" spans="1:9" ht="18" x14ac:dyDescent="0.35">
      <c r="A98" s="58" t="s">
        <v>365</v>
      </c>
      <c r="B98" s="58"/>
      <c r="C98" s="58"/>
      <c r="D98" s="58"/>
      <c r="E98" s="58"/>
      <c r="F98" s="58"/>
      <c r="G98" s="58"/>
      <c r="H98" s="58"/>
      <c r="I98" s="58"/>
    </row>
    <row r="99" spans="1:9" x14ac:dyDescent="0.3">
      <c r="A99" s="13" t="s">
        <v>14</v>
      </c>
      <c r="E99" s="56">
        <f>SUM(E15:$E$31)</f>
        <v>115824.33333333333</v>
      </c>
      <c r="F99" t="s">
        <v>299</v>
      </c>
    </row>
    <row r="100" spans="1:9" x14ac:dyDescent="0.3">
      <c r="E100" s="56">
        <f>E99/$B$6</f>
        <v>6618.5333333333328</v>
      </c>
      <c r="F100" t="s">
        <v>366</v>
      </c>
    </row>
    <row r="101" spans="1:9" x14ac:dyDescent="0.3">
      <c r="E101" s="74">
        <f>E99/$B$3</f>
        <v>110.30888888888889</v>
      </c>
      <c r="F101" s="75" t="s">
        <v>311</v>
      </c>
    </row>
    <row r="103" spans="1:9" x14ac:dyDescent="0.3">
      <c r="A103" s="13" t="s">
        <v>15</v>
      </c>
      <c r="E103" s="74">
        <f>SUM($E$34:$E$43)</f>
        <v>1631</v>
      </c>
      <c r="F103" s="75" t="s">
        <v>311</v>
      </c>
    </row>
    <row r="104" spans="1:9" x14ac:dyDescent="0.3">
      <c r="E104" s="56"/>
    </row>
    <row r="105" spans="1:9" x14ac:dyDescent="0.3">
      <c r="A105" s="13" t="s">
        <v>16</v>
      </c>
      <c r="E105" s="74">
        <f>SUM($E$46:$E$51)</f>
        <v>11091.24</v>
      </c>
      <c r="F105" s="75" t="s">
        <v>311</v>
      </c>
    </row>
    <row r="107" spans="1:9" x14ac:dyDescent="0.3">
      <c r="A107" s="13" t="s">
        <v>17</v>
      </c>
      <c r="E107" s="56">
        <f>SUM($E$55:$E$72)</f>
        <v>691056.68114285707</v>
      </c>
      <c r="F107" t="s">
        <v>366</v>
      </c>
    </row>
    <row r="108" spans="1:9" x14ac:dyDescent="0.3">
      <c r="E108" s="74">
        <f>E107*$B$6/$B$3</f>
        <v>11517.611352380951</v>
      </c>
      <c r="F108" s="75" t="s">
        <v>311</v>
      </c>
    </row>
    <row r="109" spans="1:9" x14ac:dyDescent="0.3">
      <c r="E109" s="56"/>
    </row>
    <row r="110" spans="1:9" x14ac:dyDescent="0.3">
      <c r="A110" s="13" t="s">
        <v>18</v>
      </c>
      <c r="E110" s="56">
        <f>SUM($E$76:$E$96)</f>
        <v>0</v>
      </c>
      <c r="F110" t="s">
        <v>367</v>
      </c>
    </row>
    <row r="111" spans="1:9" x14ac:dyDescent="0.3">
      <c r="E111" s="74">
        <f>E110*$B$10/$B$3</f>
        <v>0</v>
      </c>
      <c r="F111" s="75" t="s">
        <v>311</v>
      </c>
    </row>
    <row r="112" spans="1:9" x14ac:dyDescent="0.3">
      <c r="E112" s="56"/>
    </row>
    <row r="113" spans="1:8" x14ac:dyDescent="0.3">
      <c r="A113" s="13" t="s">
        <v>19</v>
      </c>
      <c r="E113" s="74">
        <f>SUM(E101,E103,E105,E108)*Assumptions!$H$22</f>
        <v>1217.5080120634921</v>
      </c>
      <c r="F113" s="75" t="s">
        <v>311</v>
      </c>
    </row>
    <row r="115" spans="1:8" x14ac:dyDescent="0.3">
      <c r="A115" s="70" t="s">
        <v>368</v>
      </c>
      <c r="B115" s="55"/>
      <c r="C115" s="55"/>
      <c r="D115" s="55"/>
      <c r="E115" s="71">
        <f>SUM($E$101,$E$103,$E$105,$E$108,$E$111,$E$113)</f>
        <v>25567.668253333333</v>
      </c>
      <c r="F115" s="70" t="s">
        <v>311</v>
      </c>
      <c r="G115" s="56"/>
    </row>
    <row r="116" spans="1:8" x14ac:dyDescent="0.3">
      <c r="A116" s="69"/>
      <c r="B116" s="69"/>
      <c r="C116" s="69"/>
      <c r="D116" s="69"/>
      <c r="E116" s="72">
        <f>E115/Assumptions!$H$20</f>
        <v>730.50480723809528</v>
      </c>
      <c r="F116" s="73" t="s">
        <v>369</v>
      </c>
      <c r="G116" s="56"/>
    </row>
    <row r="117" spans="1:8" x14ac:dyDescent="0.3">
      <c r="A117" s="70" t="s">
        <v>370</v>
      </c>
      <c r="B117" s="55"/>
      <c r="C117" s="55"/>
      <c r="D117" s="55"/>
      <c r="E117" s="80">
        <f>E115/Assumptions!$H$23</f>
        <v>1382.0361218018018</v>
      </c>
      <c r="F117" s="70" t="s">
        <v>311</v>
      </c>
      <c r="G117" s="56"/>
      <c r="H117" s="79"/>
    </row>
    <row r="118" spans="1:8" x14ac:dyDescent="0.3">
      <c r="A118" s="69"/>
      <c r="B118" s="69"/>
      <c r="C118" s="69"/>
      <c r="D118" s="69"/>
      <c r="E118" s="81">
        <f>E117/Assumptions!$H$20</f>
        <v>39.486746337194333</v>
      </c>
      <c r="F118" s="73" t="s">
        <v>369</v>
      </c>
      <c r="G118" s="56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0B1A1-BA10-4E3B-8881-C751D06D0257}">
  <sheetPr>
    <tabColor rgb="FF00B050"/>
  </sheetPr>
  <dimension ref="A1:I118"/>
  <sheetViews>
    <sheetView topLeftCell="A23" zoomScale="88" workbookViewId="0">
      <selection activeCell="E43" sqref="E43"/>
    </sheetView>
  </sheetViews>
  <sheetFormatPr defaultRowHeight="14.4" x14ac:dyDescent="0.3"/>
  <cols>
    <col min="1" max="1" width="47" customWidth="1"/>
    <col min="2" max="2" width="60.6640625" bestFit="1" customWidth="1"/>
    <col min="3" max="3" width="22.33203125" customWidth="1"/>
    <col min="4" max="4" width="28.6640625" customWidth="1"/>
    <col min="5" max="5" width="27.6640625" customWidth="1"/>
    <col min="6" max="6" width="38.6640625" customWidth="1"/>
    <col min="7" max="7" width="9.33203125" bestFit="1" customWidth="1"/>
    <col min="8" max="8" width="34" customWidth="1"/>
    <col min="10" max="10" width="28.88671875" customWidth="1"/>
  </cols>
  <sheetData>
    <row r="1" spans="1:9" ht="18" x14ac:dyDescent="0.35">
      <c r="A1" s="58" t="s">
        <v>282</v>
      </c>
      <c r="B1" s="58"/>
      <c r="C1" s="58"/>
      <c r="D1" s="58"/>
      <c r="E1" s="58"/>
      <c r="F1" s="58"/>
      <c r="G1" s="58"/>
      <c r="H1" s="58"/>
      <c r="I1" s="58"/>
    </row>
    <row r="2" spans="1:9" ht="13.5" customHeight="1" x14ac:dyDescent="0.3">
      <c r="A2" t="s">
        <v>283</v>
      </c>
      <c r="B2" s="59">
        <f>Assumptions!$I$14</f>
        <v>175</v>
      </c>
      <c r="C2" s="13"/>
      <c r="D2" s="13"/>
    </row>
    <row r="3" spans="1:9" ht="13.5" customHeight="1" x14ac:dyDescent="0.3">
      <c r="A3" t="s">
        <v>284</v>
      </c>
      <c r="B3" s="59">
        <f>Assumptions!$I$14*Assumptions!$I$16</f>
        <v>1050</v>
      </c>
      <c r="C3" s="13"/>
      <c r="D3" s="13"/>
    </row>
    <row r="4" spans="1:9" ht="13.5" customHeight="1" x14ac:dyDescent="0.3">
      <c r="A4" t="s">
        <v>285</v>
      </c>
      <c r="B4" s="59">
        <f>$B$3*Assumptions!$I$20</f>
        <v>36750</v>
      </c>
      <c r="C4" s="13"/>
      <c r="D4" s="13"/>
      <c r="E4" s="59"/>
    </row>
    <row r="5" spans="1:9" ht="6.75" customHeight="1" x14ac:dyDescent="0.3">
      <c r="B5" s="59"/>
      <c r="C5" s="13"/>
      <c r="D5" s="13"/>
      <c r="E5" s="59"/>
    </row>
    <row r="6" spans="1:9" ht="13.5" customHeight="1" x14ac:dyDescent="0.3">
      <c r="A6" t="s">
        <v>286</v>
      </c>
      <c r="B6" s="59">
        <f>B3/Assumptions!$I$17</f>
        <v>10.5</v>
      </c>
      <c r="C6" s="13"/>
      <c r="D6" s="13"/>
      <c r="E6" s="59"/>
    </row>
    <row r="7" spans="1:9" ht="13.5" customHeight="1" x14ac:dyDescent="0.3">
      <c r="A7" t="s">
        <v>287</v>
      </c>
      <c r="B7" s="59">
        <f>ROUNDUP(B6/Assumptions!$I$64,0)</f>
        <v>1</v>
      </c>
      <c r="C7" s="13"/>
      <c r="D7" s="13"/>
    </row>
    <row r="8" spans="1:9" ht="6.75" customHeight="1" x14ac:dyDescent="0.3">
      <c r="B8" s="59"/>
      <c r="C8" s="13"/>
      <c r="D8" s="13"/>
    </row>
    <row r="9" spans="1:9" ht="13.5" customHeight="1" x14ac:dyDescent="0.3">
      <c r="A9" t="s">
        <v>288</v>
      </c>
      <c r="B9" s="59">
        <f>$B$2</f>
        <v>175</v>
      </c>
      <c r="C9" s="13"/>
      <c r="D9" s="13"/>
    </row>
    <row r="10" spans="1:9" ht="13.5" customHeight="1" x14ac:dyDescent="0.3">
      <c r="A10" t="s">
        <v>289</v>
      </c>
      <c r="B10" s="59">
        <f>ROUND($B$9/Assumptions!$I$18,0)</f>
        <v>175</v>
      </c>
    </row>
    <row r="11" spans="1:9" ht="13.5" customHeight="1" x14ac:dyDescent="0.3">
      <c r="A11" t="s">
        <v>290</v>
      </c>
      <c r="B11" s="59">
        <f>ROUNDUP($B$10/Assumptions!$I$74,0)</f>
        <v>9</v>
      </c>
    </row>
    <row r="12" spans="1:9" ht="6.75" customHeight="1" x14ac:dyDescent="0.3">
      <c r="B12" s="59"/>
    </row>
    <row r="13" spans="1:9" ht="18" x14ac:dyDescent="0.35">
      <c r="A13" s="58" t="s">
        <v>291</v>
      </c>
      <c r="B13" s="58"/>
      <c r="C13" s="58"/>
      <c r="D13" s="58"/>
      <c r="E13" s="58"/>
      <c r="F13" s="58"/>
      <c r="G13" s="58"/>
      <c r="H13" s="58"/>
      <c r="I13" s="58"/>
    </row>
    <row r="14" spans="1:9" s="13" customFormat="1" x14ac:dyDescent="0.3">
      <c r="A14" s="13" t="s">
        <v>292</v>
      </c>
      <c r="B14" s="13" t="s">
        <v>293</v>
      </c>
      <c r="C14" s="13" t="s">
        <v>294</v>
      </c>
      <c r="D14" s="13" t="s">
        <v>295</v>
      </c>
      <c r="E14" s="13" t="s">
        <v>296</v>
      </c>
      <c r="F14" s="13" t="s">
        <v>297</v>
      </c>
    </row>
    <row r="15" spans="1:9" x14ac:dyDescent="0.3">
      <c r="B15" t="s">
        <v>298</v>
      </c>
      <c r="C15" s="56">
        <f>'Unit Costs'!$G$3*Assumptions!$I$27</f>
        <v>77440</v>
      </c>
      <c r="D15" s="56">
        <f>C15</f>
        <v>77440</v>
      </c>
      <c r="E15" s="56">
        <f>D15/Assumptions!$I$31</f>
        <v>6453.333333333333</v>
      </c>
      <c r="F15" t="s">
        <v>299</v>
      </c>
      <c r="H15" s="57"/>
    </row>
    <row r="16" spans="1:9" x14ac:dyDescent="0.3">
      <c r="B16" t="s">
        <v>300</v>
      </c>
      <c r="C16" s="56">
        <f>('Unit Costs'!$G$4+'Unit Costs'!$G$5)*Assumptions!$I$29*Assumptions!$I$28</f>
        <v>135510</v>
      </c>
      <c r="D16" s="56">
        <f>C16</f>
        <v>135510</v>
      </c>
      <c r="E16" s="56">
        <f>D16/Assumptions!$I$31</f>
        <v>11292.5</v>
      </c>
      <c r="F16" t="s">
        <v>299</v>
      </c>
    </row>
    <row r="17" spans="1:8" ht="15" customHeight="1" x14ac:dyDescent="0.3">
      <c r="B17" t="s">
        <v>569</v>
      </c>
      <c r="C17" s="56">
        <f>(('Unit Costs'!$G$6*Assumptions!$I$28)+('Unit Costs'!$G$7))*Assumptions!$I$30</f>
        <v>54408</v>
      </c>
      <c r="D17" s="56">
        <f>C17</f>
        <v>54408</v>
      </c>
      <c r="E17" s="56">
        <f>D17/Assumptions!$I$31</f>
        <v>4534</v>
      </c>
      <c r="F17" t="s">
        <v>299</v>
      </c>
    </row>
    <row r="18" spans="1:8" x14ac:dyDescent="0.3">
      <c r="B18" t="s">
        <v>302</v>
      </c>
      <c r="C18" s="56">
        <f>'Unit Costs'!$G$3*Assumptions!$I$38</f>
        <v>19360</v>
      </c>
      <c r="D18" s="56">
        <f>IF(Assumptions!$I$10="Home Language",0,$C18)</f>
        <v>19360</v>
      </c>
      <c r="E18" s="56">
        <f>D18/Assumptions!$I$42</f>
        <v>1613.3333333333333</v>
      </c>
      <c r="F18" t="s">
        <v>299</v>
      </c>
    </row>
    <row r="19" spans="1:8" x14ac:dyDescent="0.3">
      <c r="B19" t="s">
        <v>303</v>
      </c>
      <c r="C19" s="56">
        <f>('Unit Costs'!$G$4+'Unit Costs'!$G$5)*Assumptions!$I$39*Assumptions!$I$40</f>
        <v>67755</v>
      </c>
      <c r="D19" s="56">
        <f>IF(Assumptions!$I$10="Home Language",0,$C19)</f>
        <v>67755</v>
      </c>
      <c r="E19" s="56">
        <f>D19/Assumptions!$I$42</f>
        <v>5646.25</v>
      </c>
      <c r="F19" t="s">
        <v>299</v>
      </c>
    </row>
    <row r="20" spans="1:8" x14ac:dyDescent="0.3">
      <c r="B20" t="s">
        <v>558</v>
      </c>
      <c r="C20" s="56">
        <f>(('Unit Costs'!$G$6*Assumptions!$I$39)+('Unit Costs'!$G$7))*Assumptions!$I$41</f>
        <v>45272</v>
      </c>
      <c r="D20" s="56">
        <f>IF(Assumptions!$I$10="Home Language",0,$C20)</f>
        <v>45272</v>
      </c>
      <c r="E20" s="56">
        <f>D20/Assumptions!$I$42</f>
        <v>3772.6666666666665</v>
      </c>
      <c r="F20" t="s">
        <v>299</v>
      </c>
    </row>
    <row r="21" spans="1:8" x14ac:dyDescent="0.3">
      <c r="C21" s="56"/>
      <c r="D21" s="56"/>
      <c r="E21" s="56"/>
    </row>
    <row r="22" spans="1:8" x14ac:dyDescent="0.3">
      <c r="A22" s="13" t="s">
        <v>304</v>
      </c>
      <c r="C22" s="56"/>
      <c r="D22" s="56"/>
      <c r="E22" s="56"/>
      <c r="H22" s="57"/>
    </row>
    <row r="23" spans="1:8" x14ac:dyDescent="0.3">
      <c r="A23" s="13"/>
      <c r="B23" t="s">
        <v>305</v>
      </c>
      <c r="C23" s="56">
        <f>'Unit Costs'!$G$3*Assumptions!$I$32</f>
        <v>19360</v>
      </c>
      <c r="D23" s="56">
        <f>C23</f>
        <v>19360</v>
      </c>
      <c r="E23" s="56">
        <f>D23*Assumptions!$I$36/Assumptions!$I$31</f>
        <v>4840</v>
      </c>
      <c r="F23" t="s">
        <v>299</v>
      </c>
      <c r="H23" s="57"/>
    </row>
    <row r="24" spans="1:8" x14ac:dyDescent="0.3">
      <c r="B24" t="s">
        <v>300</v>
      </c>
      <c r="C24" s="56">
        <f>('Unit Costs'!$G$4+'Unit Costs'!$G$5)*Assumptions!$I$34*Assumptions!$I$33</f>
        <v>135510</v>
      </c>
      <c r="D24" s="56">
        <f>C24</f>
        <v>135510</v>
      </c>
      <c r="E24" s="56">
        <f>D24*Assumptions!$I$36/Assumptions!$I$31</f>
        <v>33877.5</v>
      </c>
      <c r="F24" t="s">
        <v>299</v>
      </c>
    </row>
    <row r="25" spans="1:8" ht="15" customHeight="1" x14ac:dyDescent="0.3">
      <c r="B25" t="s">
        <v>569</v>
      </c>
      <c r="C25" s="56">
        <f>(('Unit Costs'!$G$6*Assumptions!$I$33)+('Unit Costs'!$G$7))*Assumptions!$I$35</f>
        <v>54408</v>
      </c>
      <c r="D25" s="56">
        <f>C25</f>
        <v>54408</v>
      </c>
      <c r="E25" s="56">
        <f>D25*Assumptions!$I$36/Assumptions!$I$31</f>
        <v>13602</v>
      </c>
      <c r="F25" t="s">
        <v>299</v>
      </c>
    </row>
    <row r="26" spans="1:8" x14ac:dyDescent="0.3">
      <c r="B26" t="s">
        <v>306</v>
      </c>
      <c r="C26" s="56">
        <f>'Unit Costs'!$G$3*Assumptions!$I$43</f>
        <v>7744</v>
      </c>
      <c r="D26" s="56">
        <f>IF(Assumptions!$I$10="Home Language",0,$C26)</f>
        <v>7744</v>
      </c>
      <c r="E26" s="56">
        <f>D26*Assumptions!$I$47/Assumptions!$I$42</f>
        <v>1936</v>
      </c>
      <c r="F26" t="s">
        <v>299</v>
      </c>
    </row>
    <row r="27" spans="1:8" x14ac:dyDescent="0.3">
      <c r="B27" t="s">
        <v>303</v>
      </c>
      <c r="C27" s="56">
        <f>('Unit Costs'!$G$4+'Unit Costs'!$G$5)*Assumptions!$I$44*Assumptions!$I$45</f>
        <v>67755</v>
      </c>
      <c r="D27" s="56">
        <f>IF(Assumptions!$I$10="Home Language",0,$C27)</f>
        <v>67755</v>
      </c>
      <c r="E27" s="56">
        <f>D27*Assumptions!$I$47/Assumptions!$I$42</f>
        <v>16938.75</v>
      </c>
      <c r="F27" t="s">
        <v>299</v>
      </c>
    </row>
    <row r="28" spans="1:8" x14ac:dyDescent="0.3">
      <c r="B28" t="s">
        <v>558</v>
      </c>
      <c r="C28" s="56">
        <f>(('Unit Costs'!$G$6*Assumptions!$I$44)+('Unit Costs'!$G$7))*Assumptions!$I$46</f>
        <v>45272</v>
      </c>
      <c r="D28" s="56">
        <f>IF(Assumptions!$I$10="Home Language",0,$C28)</f>
        <v>45272</v>
      </c>
      <c r="E28" s="56">
        <f>D28*Assumptions!$I$47/Assumptions!$I$42</f>
        <v>11318</v>
      </c>
      <c r="F28" t="s">
        <v>299</v>
      </c>
    </row>
    <row r="29" spans="1:8" x14ac:dyDescent="0.3">
      <c r="C29" s="56"/>
      <c r="D29" s="56"/>
      <c r="E29" s="56"/>
    </row>
    <row r="30" spans="1:8" x14ac:dyDescent="0.3">
      <c r="A30" s="13" t="s">
        <v>307</v>
      </c>
      <c r="C30" s="56"/>
      <c r="D30" s="56"/>
      <c r="E30" s="56"/>
    </row>
    <row r="31" spans="1:8" x14ac:dyDescent="0.3">
      <c r="A31" s="13"/>
      <c r="B31" t="s">
        <v>308</v>
      </c>
      <c r="C31" s="56">
        <f>'Unit Costs'!$G$10</f>
        <v>150000</v>
      </c>
      <c r="D31" s="56">
        <f>IF(Assumptions!$I$13="Yes",$C31,0)</f>
        <v>0</v>
      </c>
      <c r="E31" s="56">
        <f>D31</f>
        <v>0</v>
      </c>
      <c r="F31" t="s">
        <v>299</v>
      </c>
    </row>
    <row r="33" spans="1:6" x14ac:dyDescent="0.3">
      <c r="A33" s="13" t="s">
        <v>309</v>
      </c>
      <c r="C33" s="56"/>
      <c r="D33" s="56"/>
      <c r="E33" s="56"/>
    </row>
    <row r="34" spans="1:6" x14ac:dyDescent="0.3">
      <c r="A34" s="13"/>
      <c r="B34" t="s">
        <v>310</v>
      </c>
      <c r="C34" s="56">
        <f>'Unit Costs'!$G$13</f>
        <v>1505</v>
      </c>
      <c r="D34" s="56">
        <f>C34</f>
        <v>1505</v>
      </c>
      <c r="E34" s="56">
        <f>D34/Assumptions!$I$50</f>
        <v>752.5</v>
      </c>
      <c r="F34" t="s">
        <v>311</v>
      </c>
    </row>
    <row r="35" spans="1:6" x14ac:dyDescent="0.3">
      <c r="B35" t="s">
        <v>312</v>
      </c>
      <c r="C35" s="56">
        <f>'Unit Costs'!$G$16</f>
        <v>811</v>
      </c>
      <c r="D35" s="56">
        <f>IF(Assumptions!$I$10="Home Language",0,$C35)</f>
        <v>811</v>
      </c>
      <c r="E35" s="56">
        <f>D35/Assumptions!$I$50</f>
        <v>405.5</v>
      </c>
      <c r="F35" t="s">
        <v>311</v>
      </c>
    </row>
    <row r="36" spans="1:6" x14ac:dyDescent="0.3">
      <c r="C36" s="56"/>
      <c r="D36" s="56"/>
      <c r="E36" s="56"/>
    </row>
    <row r="37" spans="1:6" x14ac:dyDescent="0.3">
      <c r="A37" s="13" t="s">
        <v>313</v>
      </c>
      <c r="C37" s="56"/>
      <c r="D37" s="56"/>
      <c r="E37" s="56"/>
    </row>
    <row r="38" spans="1:6" x14ac:dyDescent="0.3">
      <c r="A38" s="13"/>
      <c r="B38" t="s">
        <v>314</v>
      </c>
      <c r="C38" s="56">
        <f>'Unit Costs'!$G$12</f>
        <v>615</v>
      </c>
      <c r="D38" s="56">
        <f>IF(Assumptions!$I$13="Yes",0,$C38)</f>
        <v>615</v>
      </c>
      <c r="E38" s="56">
        <f>D38/Assumptions!$I$50</f>
        <v>307.5</v>
      </c>
      <c r="F38" t="s">
        <v>311</v>
      </c>
    </row>
    <row r="39" spans="1:6" x14ac:dyDescent="0.3">
      <c r="B39" t="s">
        <v>315</v>
      </c>
      <c r="C39" s="56">
        <f>'Unit Costs'!$G$15</f>
        <v>331</v>
      </c>
      <c r="D39" s="56">
        <f>IF(OR(Assumptions!$I$13="Yes", Assumptions!$I$10="Home Language"),0,$C39)</f>
        <v>331</v>
      </c>
      <c r="E39" s="56">
        <f>D39/Assumptions!$I$50</f>
        <v>165.5</v>
      </c>
      <c r="F39" t="s">
        <v>311</v>
      </c>
    </row>
    <row r="40" spans="1:6" x14ac:dyDescent="0.3">
      <c r="C40" s="56"/>
      <c r="D40" s="56"/>
      <c r="E40" s="56"/>
    </row>
    <row r="41" spans="1:6" x14ac:dyDescent="0.3">
      <c r="A41" s="13" t="s">
        <v>316</v>
      </c>
      <c r="C41" s="56"/>
      <c r="D41" s="56"/>
      <c r="E41" s="56"/>
    </row>
    <row r="42" spans="1:6" x14ac:dyDescent="0.3">
      <c r="A42" s="13"/>
      <c r="B42" t="s">
        <v>199</v>
      </c>
      <c r="C42" s="56">
        <f>'Unit Costs'!$G$18</f>
        <v>2839</v>
      </c>
      <c r="D42" s="56">
        <f>IF(Assumptions!$I$13="Yes",$C42,0)</f>
        <v>0</v>
      </c>
      <c r="E42" s="56">
        <f>D42/Assumptions!$I$50</f>
        <v>0</v>
      </c>
      <c r="F42" t="s">
        <v>311</v>
      </c>
    </row>
    <row r="43" spans="1:6" x14ac:dyDescent="0.3">
      <c r="B43" t="s">
        <v>203</v>
      </c>
      <c r="C43" s="56">
        <f>'Unit Costs'!$G$19</f>
        <v>900</v>
      </c>
      <c r="D43" s="56">
        <f>IF(Assumptions!$I$13="Yes",$C43,0)</f>
        <v>0</v>
      </c>
      <c r="E43" s="56">
        <f>D43</f>
        <v>0</v>
      </c>
      <c r="F43" t="s">
        <v>311</v>
      </c>
    </row>
    <row r="45" spans="1:6" x14ac:dyDescent="0.3">
      <c r="A45" s="13" t="s">
        <v>16</v>
      </c>
      <c r="C45" s="56"/>
      <c r="D45" s="56"/>
      <c r="E45" s="56"/>
    </row>
    <row r="46" spans="1:6" x14ac:dyDescent="0.3">
      <c r="A46" s="13"/>
      <c r="B46" t="s">
        <v>317</v>
      </c>
      <c r="C46" s="56">
        <f>'Unit Costs'!$G$37*(Assumptions!$I$55*Assumptions!$I$56)</f>
        <v>1239</v>
      </c>
      <c r="D46" s="56">
        <f t="shared" ref="D46:E50" si="0">C46</f>
        <v>1239</v>
      </c>
      <c r="E46" s="56">
        <f t="shared" si="0"/>
        <v>1239</v>
      </c>
      <c r="F46" t="s">
        <v>311</v>
      </c>
    </row>
    <row r="47" spans="1:6" x14ac:dyDescent="0.3">
      <c r="A47" s="13"/>
      <c r="B47" t="s">
        <v>318</v>
      </c>
      <c r="C47" s="56">
        <f>(Assumptions!$I$55-1)*Assumptions!$I$56*'Unit Costs'!$G$34</f>
        <v>2880</v>
      </c>
      <c r="D47" s="56">
        <f>C47</f>
        <v>2880</v>
      </c>
      <c r="E47" s="56">
        <f>D47</f>
        <v>2880</v>
      </c>
      <c r="F47" t="s">
        <v>311</v>
      </c>
    </row>
    <row r="48" spans="1:6" x14ac:dyDescent="0.3">
      <c r="B48" t="s">
        <v>319</v>
      </c>
      <c r="C48" s="56">
        <f>'Unit Costs'!$G$37*(Assumptions!$I$57*Assumptions!$I$58)</f>
        <v>2478</v>
      </c>
      <c r="D48" s="56">
        <f t="shared" si="0"/>
        <v>2478</v>
      </c>
      <c r="E48" s="56">
        <f t="shared" si="0"/>
        <v>2478</v>
      </c>
      <c r="F48" t="s">
        <v>311</v>
      </c>
    </row>
    <row r="49" spans="1:9" x14ac:dyDescent="0.3">
      <c r="B49" t="s">
        <v>320</v>
      </c>
      <c r="C49" s="56">
        <f>(Assumptions!$I$57-1)*Assumptions!$I$58*'Unit Costs'!$G$34</f>
        <v>4320</v>
      </c>
      <c r="D49" s="56">
        <f>C49</f>
        <v>4320</v>
      </c>
      <c r="E49" s="56">
        <f>D49</f>
        <v>4320</v>
      </c>
      <c r="F49" t="s">
        <v>311</v>
      </c>
    </row>
    <row r="50" spans="1:9" x14ac:dyDescent="0.3">
      <c r="B50" t="s">
        <v>321</v>
      </c>
      <c r="C50" s="56">
        <f>'Unit Costs'!$G$38*Assumptions!$I$59*Assumptions!$I$60</f>
        <v>0</v>
      </c>
      <c r="D50" s="56">
        <f t="shared" si="0"/>
        <v>0</v>
      </c>
      <c r="E50" s="56">
        <f t="shared" si="0"/>
        <v>0</v>
      </c>
      <c r="F50" t="s">
        <v>311</v>
      </c>
    </row>
    <row r="51" spans="1:9" x14ac:dyDescent="0.3">
      <c r="B51" s="149" t="s">
        <v>322</v>
      </c>
      <c r="C51" s="56">
        <f>'Unit Costs'!$G$31*ROUNDUP($B$3/Assumptions!$I$53,0)*(Assumptions!$I$55*Assumptions!$I$56+Assumptions!$I$57*Assumptions!$I$58)/$B$3</f>
        <v>696.96</v>
      </c>
      <c r="D51" s="56">
        <f>IF(Assumptions!$I$11 = "Yes", C51*Assumptions!$I$54, C51)</f>
        <v>174.24</v>
      </c>
      <c r="E51" s="56">
        <f>D51</f>
        <v>174.24</v>
      </c>
      <c r="F51" t="s">
        <v>311</v>
      </c>
      <c r="G51" t="s">
        <v>323</v>
      </c>
    </row>
    <row r="53" spans="1:9" ht="18" x14ac:dyDescent="0.35">
      <c r="A53" s="58" t="s">
        <v>324</v>
      </c>
      <c r="B53" s="58"/>
      <c r="C53" s="58"/>
      <c r="D53" s="58"/>
      <c r="E53" s="58"/>
      <c r="F53" s="58"/>
      <c r="G53" s="58"/>
      <c r="H53" s="58"/>
      <c r="I53" s="58"/>
    </row>
    <row r="54" spans="1:9" ht="15.6" x14ac:dyDescent="0.3">
      <c r="A54" s="13" t="s">
        <v>325</v>
      </c>
      <c r="B54" s="13"/>
      <c r="C54" s="13"/>
      <c r="D54" s="13"/>
      <c r="E54" s="13"/>
      <c r="F54" s="13"/>
      <c r="H54" s="60"/>
    </row>
    <row r="55" spans="1:9" x14ac:dyDescent="0.3">
      <c r="A55" s="68" t="s">
        <v>326</v>
      </c>
      <c r="B55" t="s">
        <v>327</v>
      </c>
      <c r="C55" s="56">
        <f>'Unit Costs'!$G$21*'Unit Costs'!$E$21</f>
        <v>61950.119999999995</v>
      </c>
      <c r="D55" s="56">
        <f>IF(AND(Assumptions!$I$11="Yes",OR(Assumptions!$I$12=Lists!$AB$2,Assumptions!$I$12=Lists!$AB$3)), C55, 0)</f>
        <v>61950.119999999995</v>
      </c>
      <c r="E55" s="56">
        <f>D55/Assumptions!$I$66</f>
        <v>12390.023999999999</v>
      </c>
      <c r="F55" t="s">
        <v>366</v>
      </c>
      <c r="H55" s="59"/>
    </row>
    <row r="56" spans="1:9" x14ac:dyDescent="0.3">
      <c r="A56" s="68"/>
      <c r="B56" t="s">
        <v>329</v>
      </c>
      <c r="C56" s="56">
        <f>'Unit Costs'!$G$44</f>
        <v>7744</v>
      </c>
      <c r="D56" s="56">
        <f>IF(AND(Assumptions!$I$11="Yes",OR(Assumptions!$I$12=Lists!$AB$2,Assumptions!$I$12=Lists!$AB$3)), C56, 0)</f>
        <v>7744</v>
      </c>
      <c r="E56" s="56">
        <f>D56/Assumptions!$I$67</f>
        <v>1548.8</v>
      </c>
      <c r="F56" t="s">
        <v>366</v>
      </c>
    </row>
    <row r="57" spans="1:9" x14ac:dyDescent="0.3">
      <c r="A57" s="68"/>
      <c r="B57" t="s">
        <v>330</v>
      </c>
      <c r="C57" s="56">
        <f>'Unit Costs'!$G$24</f>
        <v>38719</v>
      </c>
      <c r="D57" s="56">
        <f>IF(AND(Assumptions!$I$11="Yes",OR(Assumptions!$I$12=Lists!$AB$2,Assumptions!$I$12=Lists!$AB$3)), C57, 0)</f>
        <v>38719</v>
      </c>
      <c r="E57" s="56">
        <f>D57/Assumptions!$I$66</f>
        <v>7743.8</v>
      </c>
      <c r="F57" t="s">
        <v>366</v>
      </c>
    </row>
    <row r="58" spans="1:9" x14ac:dyDescent="0.3">
      <c r="A58" s="68"/>
      <c r="B58" t="s">
        <v>331</v>
      </c>
      <c r="C58" s="56">
        <f>Assumptions!$I$69*'Unit Costs'!$G$26</f>
        <v>3225</v>
      </c>
      <c r="D58" s="56">
        <f>IF(AND(Assumptions!$I$11="Yes",OR(Assumptions!$I$12=Lists!$AB$2,Assumptions!$I$12=Lists!$AB$3)), C58, 0)</f>
        <v>3225</v>
      </c>
      <c r="E58" s="56">
        <f>D58/Assumptions!$I$66</f>
        <v>645</v>
      </c>
      <c r="F58" t="s">
        <v>366</v>
      </c>
    </row>
    <row r="59" spans="1:9" x14ac:dyDescent="0.3">
      <c r="A59" s="68"/>
      <c r="B59" t="s">
        <v>332</v>
      </c>
      <c r="C59" s="56">
        <f>(Assumptions!$I$69-1)*'Unit Costs'!$G$27</f>
        <v>5760</v>
      </c>
      <c r="D59" s="56">
        <f>IF(AND(Assumptions!$I$11="Yes",OR(Assumptions!$I$12=Lists!$AB$2,Assumptions!$I$12=Lists!$AB$3)), C59, 0)</f>
        <v>5760</v>
      </c>
      <c r="E59" s="56">
        <f>D59/Assumptions!$I$66</f>
        <v>1152</v>
      </c>
      <c r="F59" t="s">
        <v>366</v>
      </c>
    </row>
    <row r="60" spans="1:9" x14ac:dyDescent="0.3">
      <c r="A60" s="68"/>
      <c r="B60" s="149" t="s">
        <v>333</v>
      </c>
      <c r="C60" s="56">
        <f>'Unit Costs'!$G$32*ROUNDUP($B$6/Assumptions!$I$64,0)*Assumptions!C$69/($B$6)</f>
        <v>3072.8571428571427</v>
      </c>
      <c r="D60" s="56">
        <f>IF(AND(Assumptions!$I$11="Yes",OR(Assumptions!$I$12=Lists!$AB$2,Assumptions!$I$12=Lists!$AB$3)), C60, 0)*Assumptions!$G$65</f>
        <v>0</v>
      </c>
      <c r="E60" s="56">
        <f>D60/Assumptions!$I$66</f>
        <v>0</v>
      </c>
      <c r="F60" t="s">
        <v>366</v>
      </c>
    </row>
    <row r="61" spans="1:9" x14ac:dyDescent="0.3">
      <c r="A61" s="68"/>
    </row>
    <row r="62" spans="1:9" x14ac:dyDescent="0.3">
      <c r="A62" s="68" t="s">
        <v>334</v>
      </c>
      <c r="B62" t="s">
        <v>571</v>
      </c>
      <c r="C62" s="56">
        <f>'Unit Costs'!$G$29</f>
        <v>516251</v>
      </c>
      <c r="D62" s="56">
        <f>IF(AND(Assumptions!$I$11="Yes",OR(Assumptions!$I$12=Lists!$AB$2,Assumptions!$I$12=Lists!$AB$3)), C62, 0)</f>
        <v>516251</v>
      </c>
      <c r="E62" s="56">
        <f t="shared" ref="E62:E67" si="1">D62</f>
        <v>516251</v>
      </c>
      <c r="F62" t="s">
        <v>366</v>
      </c>
    </row>
    <row r="63" spans="1:9" x14ac:dyDescent="0.3">
      <c r="A63" s="68"/>
      <c r="B63" t="s">
        <v>336</v>
      </c>
      <c r="C63" s="56">
        <f>'Unit Costs'!$G$30*$B$7/$B$6</f>
        <v>59000.095238095237</v>
      </c>
      <c r="D63" s="56">
        <f>IF(AND(Assumptions!$I$11="Yes",OR(Assumptions!$I$12=Lists!$AB$2,Assumptions!$I$12=Lists!$AB$3)), C63, 0)</f>
        <v>59000.095238095237</v>
      </c>
      <c r="E63" s="56">
        <f t="shared" si="1"/>
        <v>59000.095238095237</v>
      </c>
      <c r="F63" t="s">
        <v>366</v>
      </c>
    </row>
    <row r="64" spans="1:9" x14ac:dyDescent="0.3">
      <c r="A64" s="68"/>
      <c r="B64" t="s">
        <v>337</v>
      </c>
      <c r="C64" s="56">
        <f>'Unit Costs'!$G$40</f>
        <v>4337</v>
      </c>
      <c r="D64" s="56">
        <f>IF(AND(Assumptions!$I$11="Yes",OR(Assumptions!$I$12=Lists!$AB$2,Assumptions!$I$12=Lists!$AB$3)), C64, 0)</f>
        <v>4337</v>
      </c>
      <c r="E64" s="56">
        <f t="shared" si="1"/>
        <v>4337</v>
      </c>
      <c r="F64" t="s">
        <v>366</v>
      </c>
    </row>
    <row r="65" spans="1:8" x14ac:dyDescent="0.3">
      <c r="A65" s="68"/>
      <c r="B65" t="s">
        <v>338</v>
      </c>
      <c r="C65" s="56">
        <f>4*(Assumptions!$I$70*'Unit Costs'!$G$26)</f>
        <v>5160</v>
      </c>
      <c r="D65" s="56">
        <f>IF(AND(Assumptions!$I$11="Yes",OR(Assumptions!$I$12=Lists!$AB$2,Assumptions!$I$12=Lists!$AB$3)), C65, 0)</f>
        <v>5160</v>
      </c>
      <c r="E65" s="56">
        <f t="shared" si="1"/>
        <v>5160</v>
      </c>
      <c r="F65" t="s">
        <v>366</v>
      </c>
    </row>
    <row r="66" spans="1:8" x14ac:dyDescent="0.3">
      <c r="A66" s="68"/>
      <c r="B66" t="s">
        <v>339</v>
      </c>
      <c r="C66" s="56">
        <f>4*((Assumptions!$I$70-1)*'Unit Costs'!$G$27)</f>
        <v>5760</v>
      </c>
      <c r="D66" s="56">
        <f>IF(AND(Assumptions!$I$11="Yes",OR(Assumptions!$I$12=Lists!$AB$2,Assumptions!$I$12=Lists!$AB$3)), C66, 0)</f>
        <v>5760</v>
      </c>
      <c r="E66" s="56">
        <f t="shared" si="1"/>
        <v>5760</v>
      </c>
      <c r="F66" t="s">
        <v>366</v>
      </c>
    </row>
    <row r="67" spans="1:8" x14ac:dyDescent="0.3">
      <c r="A67" s="68"/>
      <c r="B67" s="149" t="s">
        <v>556</v>
      </c>
      <c r="C67" s="56">
        <f>4*'Unit Costs'!$G$32*ROUNDUP($B$6/Assumptions!$I$64,0)*Assumptions!$I$70/($B$6)</f>
        <v>4916.5714285714284</v>
      </c>
      <c r="D67" s="56">
        <f>IF(AND(Assumptions!$I$11="Yes",OR(Assumptions!$I$12=Lists!$AB$2,Assumptions!$I$12=Lists!$AB$3)), C67, 0)*Assumptions!$G$65</f>
        <v>0</v>
      </c>
      <c r="E67" s="56">
        <f t="shared" si="1"/>
        <v>0</v>
      </c>
      <c r="F67" t="s">
        <v>366</v>
      </c>
    </row>
    <row r="68" spans="1:8" x14ac:dyDescent="0.3">
      <c r="A68" s="68"/>
    </row>
    <row r="69" spans="1:8" x14ac:dyDescent="0.3">
      <c r="A69" s="68" t="s">
        <v>341</v>
      </c>
      <c r="B69" s="63" t="s">
        <v>342</v>
      </c>
      <c r="C69" s="64">
        <f>'Unit Costs'!$G$41</f>
        <v>69694</v>
      </c>
      <c r="D69" s="64">
        <f>IF(AND(Assumptions!$I$11="Yes",Assumptions!$I$12=Lists!$AB$2), C69, 0)</f>
        <v>0</v>
      </c>
      <c r="E69" s="64">
        <f>D69</f>
        <v>0</v>
      </c>
      <c r="F69" t="s">
        <v>366</v>
      </c>
      <c r="G69" t="s">
        <v>343</v>
      </c>
    </row>
    <row r="70" spans="1:8" x14ac:dyDescent="0.3">
      <c r="A70" s="68"/>
      <c r="B70" s="63" t="s">
        <v>557</v>
      </c>
      <c r="C70" s="64">
        <f>'Unit Costs'!$G$42</f>
        <v>30975</v>
      </c>
      <c r="D70" s="64">
        <f>IF(AND(Assumptions!$I$11="Yes",Assumptions!$I$12=Lists!$AB$2), C70, 0)</f>
        <v>0</v>
      </c>
      <c r="E70" s="64">
        <f>D70</f>
        <v>0</v>
      </c>
      <c r="F70" t="s">
        <v>366</v>
      </c>
    </row>
    <row r="71" spans="1:8" x14ac:dyDescent="0.3">
      <c r="A71" s="68"/>
      <c r="C71" s="56"/>
      <c r="D71" s="56"/>
      <c r="E71" s="56"/>
    </row>
    <row r="72" spans="1:8" x14ac:dyDescent="0.3">
      <c r="A72" s="68" t="s">
        <v>345</v>
      </c>
      <c r="B72" t="s">
        <v>346</v>
      </c>
      <c r="C72" s="56">
        <f>'Unit Costs'!$G$43</f>
        <v>10067</v>
      </c>
      <c r="D72" s="56">
        <f>IF(AND(Assumptions!$I$11="Yes",Assumptions!$I$12=Lists!$AB$3),C72,0)</f>
        <v>10067</v>
      </c>
      <c r="E72" s="56">
        <f>D72</f>
        <v>10067</v>
      </c>
      <c r="F72" t="s">
        <v>366</v>
      </c>
    </row>
    <row r="73" spans="1:8" x14ac:dyDescent="0.3">
      <c r="A73" s="68"/>
      <c r="C73" s="56"/>
      <c r="D73" s="56"/>
      <c r="E73" s="56"/>
    </row>
    <row r="74" spans="1:8" x14ac:dyDescent="0.3">
      <c r="A74" s="68"/>
    </row>
    <row r="75" spans="1:8" ht="15.6" x14ac:dyDescent="0.3">
      <c r="A75" s="13" t="s">
        <v>347</v>
      </c>
      <c r="B75" s="13"/>
      <c r="C75" s="13"/>
      <c r="D75" s="13"/>
      <c r="E75" s="13"/>
      <c r="F75" s="13"/>
      <c r="H75" s="60"/>
    </row>
    <row r="76" spans="1:8" x14ac:dyDescent="0.3">
      <c r="A76" s="68" t="s">
        <v>326</v>
      </c>
      <c r="B76" t="s">
        <v>348</v>
      </c>
      <c r="C76" s="56">
        <f>'Unit Costs'!$G$21*'Unit Costs'!$E$21</f>
        <v>61950.119999999995</v>
      </c>
      <c r="D76" s="56">
        <f>IF(AND(Assumptions!$I$11="Yes",Assumptions!$I$12=Lists!$AB$4), C76, 0)</f>
        <v>0</v>
      </c>
      <c r="E76" s="56">
        <f>D76/Assumptions!$I$75</f>
        <v>0</v>
      </c>
      <c r="F76" t="s">
        <v>572</v>
      </c>
      <c r="H76" s="59"/>
    </row>
    <row r="77" spans="1:8" x14ac:dyDescent="0.3">
      <c r="A77" s="68"/>
      <c r="B77" t="s">
        <v>350</v>
      </c>
      <c r="C77" s="56">
        <f>'Unit Costs'!$G$44</f>
        <v>7744</v>
      </c>
      <c r="D77" s="56">
        <f>IF(AND(Assumptions!$I$11="Yes",Assumptions!$I$12=Lists!$AB$4), C77, 0)</f>
        <v>0</v>
      </c>
      <c r="E77" s="56">
        <f>D77/Assumptions!$I$76</f>
        <v>0</v>
      </c>
      <c r="F77" t="s">
        <v>572</v>
      </c>
    </row>
    <row r="78" spans="1:8" x14ac:dyDescent="0.3">
      <c r="A78" s="68"/>
      <c r="B78" t="s">
        <v>330</v>
      </c>
      <c r="C78" s="56">
        <f>'Unit Costs'!$G$24</f>
        <v>38719</v>
      </c>
      <c r="D78" s="56">
        <f>IF(AND(Assumptions!$I$11="Yes",Assumptions!$I$12=Lists!$AB$4), C78, 0)</f>
        <v>0</v>
      </c>
      <c r="E78" s="56">
        <f>D78/Assumptions!$I$75</f>
        <v>0</v>
      </c>
      <c r="F78" t="s">
        <v>572</v>
      </c>
    </row>
    <row r="79" spans="1:8" x14ac:dyDescent="0.3">
      <c r="A79" s="68"/>
      <c r="B79" t="s">
        <v>351</v>
      </c>
      <c r="C79" s="56">
        <f>Assumptions!$I$69*'Unit Costs'!$G$26</f>
        <v>3225</v>
      </c>
      <c r="D79" s="56">
        <f>IF(AND(Assumptions!$I$11="Yes",Assumptions!$I$12=Lists!$AB$4), C79, 0)</f>
        <v>0</v>
      </c>
      <c r="E79" s="56">
        <f>D79/Assumptions!$I$75</f>
        <v>0</v>
      </c>
      <c r="F79" t="s">
        <v>572</v>
      </c>
    </row>
    <row r="80" spans="1:8" x14ac:dyDescent="0.3">
      <c r="A80" s="68"/>
      <c r="B80" t="s">
        <v>352</v>
      </c>
      <c r="C80" s="56">
        <f>(Assumptions!$I$69-1)*'Unit Costs'!$G$27</f>
        <v>5760</v>
      </c>
      <c r="D80" s="56">
        <f>IF(AND(Assumptions!$I$11="Yes",Assumptions!$I$12=Lists!$AB$4), C80, 0)</f>
        <v>0</v>
      </c>
      <c r="E80" s="56">
        <f>D80/Assumptions!$I$75</f>
        <v>0</v>
      </c>
      <c r="F80" t="s">
        <v>572</v>
      </c>
    </row>
    <row r="81" spans="1:6" x14ac:dyDescent="0.3">
      <c r="A81" s="68"/>
      <c r="B81" s="149" t="s">
        <v>353</v>
      </c>
      <c r="C81" s="56">
        <f>'Unit Costs'!$G$32*ROUNDUP($B$9/Assumptions!$I$74,0)*Assumptions!$I$80*Assumptions!$I$81/($B$9)</f>
        <v>0</v>
      </c>
      <c r="D81" s="56">
        <f>IF(AND(Assumptions!$I$11="Yes",Assumptions!$I$12=Lists!$AB$4), C81, 0)*Assumptions!$G$79</f>
        <v>0</v>
      </c>
      <c r="E81" s="56">
        <f>D81/Assumptions!$I$75</f>
        <v>0</v>
      </c>
      <c r="F81" t="s">
        <v>572</v>
      </c>
    </row>
    <row r="82" spans="1:6" x14ac:dyDescent="0.3">
      <c r="A82" s="68"/>
    </row>
    <row r="83" spans="1:6" x14ac:dyDescent="0.3">
      <c r="A83" s="68" t="s">
        <v>354</v>
      </c>
      <c r="B83" t="s">
        <v>355</v>
      </c>
      <c r="C83" s="56">
        <f>'Unit Costs'!$G$29</f>
        <v>516251</v>
      </c>
      <c r="D83" s="56">
        <f>IF(AND(Assumptions!$I$11="Yes",Assumptions!$I$12=Lists!$AB$4), C83, 0)</f>
        <v>0</v>
      </c>
      <c r="E83" s="56">
        <f t="shared" ref="E83:E88" si="2">D83</f>
        <v>0</v>
      </c>
      <c r="F83" t="s">
        <v>572</v>
      </c>
    </row>
    <row r="84" spans="1:6" x14ac:dyDescent="0.3">
      <c r="A84" s="68"/>
      <c r="B84" t="s">
        <v>356</v>
      </c>
      <c r="C84" s="56">
        <f>'Unit Costs'!$G$30*$B$11/$B$10</f>
        <v>31860.051428571427</v>
      </c>
      <c r="D84" s="56">
        <f>IF(AND(Assumptions!$I$11="Yes",Assumptions!$I$12=Lists!$AB$4), C84, 0)</f>
        <v>0</v>
      </c>
      <c r="E84" s="56">
        <f t="shared" si="2"/>
        <v>0</v>
      </c>
      <c r="F84" t="s">
        <v>572</v>
      </c>
    </row>
    <row r="85" spans="1:6" x14ac:dyDescent="0.3">
      <c r="A85" s="68"/>
      <c r="B85" t="s">
        <v>337</v>
      </c>
      <c r="C85" s="56">
        <f>'Unit Costs'!$G$40</f>
        <v>4337</v>
      </c>
      <c r="D85" s="56">
        <f>IF(AND(Assumptions!$I$11="Yes",Assumptions!$I$12=Lists!$AB$4), C85, 0)</f>
        <v>0</v>
      </c>
      <c r="E85" s="56">
        <f t="shared" si="2"/>
        <v>0</v>
      </c>
      <c r="F85" t="s">
        <v>572</v>
      </c>
    </row>
    <row r="86" spans="1:6" x14ac:dyDescent="0.3">
      <c r="A86" s="68"/>
      <c r="B86" t="s">
        <v>357</v>
      </c>
      <c r="C86" s="56">
        <f>4*(Assumptions!$I$70*'Unit Costs'!$G$26)</f>
        <v>5160</v>
      </c>
      <c r="D86" s="56">
        <f>IF(AND(Assumptions!$I$11="Yes",Assumptions!$I$12=Lists!$AB$4), C86, 0)</f>
        <v>0</v>
      </c>
      <c r="E86" s="56">
        <f t="shared" si="2"/>
        <v>0</v>
      </c>
      <c r="F86" t="s">
        <v>572</v>
      </c>
    </row>
    <row r="87" spans="1:6" x14ac:dyDescent="0.3">
      <c r="A87" s="68"/>
      <c r="B87" t="s">
        <v>358</v>
      </c>
      <c r="C87" s="56">
        <f>4*((Assumptions!$I$70-1)*'Unit Costs'!$G$27)</f>
        <v>5760</v>
      </c>
      <c r="D87" s="56">
        <f>IF(AND(Assumptions!$I$11="Yes",Assumptions!$I$12=Lists!$AB$4), C87, 0)</f>
        <v>0</v>
      </c>
      <c r="E87" s="56">
        <f t="shared" si="2"/>
        <v>0</v>
      </c>
      <c r="F87" t="s">
        <v>572</v>
      </c>
    </row>
    <row r="88" spans="1:6" x14ac:dyDescent="0.3">
      <c r="A88" s="68"/>
      <c r="B88" s="149" t="s">
        <v>359</v>
      </c>
      <c r="C88" s="56">
        <f>'Unit Costs'!$G$32*ROUNDUP($B$9/Assumptions!$I$74,0)*Assumptions!$I$82*Assumptions!$I$83/($B$9)</f>
        <v>0</v>
      </c>
      <c r="D88" s="56">
        <f>IF(AND(Assumptions!$I$11="Yes",Assumptions!$I$12=Lists!$AB$4), C88, 0)*Assumptions!$G$79</f>
        <v>0</v>
      </c>
      <c r="E88" s="56">
        <f t="shared" si="2"/>
        <v>0</v>
      </c>
      <c r="F88" t="s">
        <v>572</v>
      </c>
    </row>
    <row r="89" spans="1:6" x14ac:dyDescent="0.3">
      <c r="A89" s="68"/>
    </row>
    <row r="90" spans="1:6" x14ac:dyDescent="0.3">
      <c r="A90" s="68" t="s">
        <v>360</v>
      </c>
      <c r="B90" s="63" t="s">
        <v>361</v>
      </c>
      <c r="C90" s="64">
        <f>'Unit Costs'!$G$41</f>
        <v>69694</v>
      </c>
      <c r="D90" s="56">
        <f>IF(AND(Assumptions!$I$11="Yes",Assumptions!$I$12=Lists!$AB$4), C90, 0)</f>
        <v>0</v>
      </c>
      <c r="E90" s="64">
        <f>D90</f>
        <v>0</v>
      </c>
      <c r="F90" t="s">
        <v>572</v>
      </c>
    </row>
    <row r="91" spans="1:6" x14ac:dyDescent="0.3">
      <c r="A91" s="68"/>
      <c r="B91" s="63" t="s">
        <v>557</v>
      </c>
      <c r="C91" s="64">
        <f>'Unit Costs'!$G$42</f>
        <v>30975</v>
      </c>
      <c r="D91" s="56">
        <f>IF(AND(Assumptions!$I$11="Yes",Assumptions!$I$12=Lists!$AB$4), C91, 0)</f>
        <v>0</v>
      </c>
      <c r="E91" s="64">
        <f>D91</f>
        <v>0</v>
      </c>
      <c r="F91" t="s">
        <v>572</v>
      </c>
    </row>
    <row r="92" spans="1:6" x14ac:dyDescent="0.3">
      <c r="A92" s="68"/>
      <c r="D92" s="56"/>
    </row>
    <row r="93" spans="1:6" x14ac:dyDescent="0.3">
      <c r="A93" s="68"/>
      <c r="D93" s="56"/>
    </row>
    <row r="94" spans="1:6" x14ac:dyDescent="0.3">
      <c r="A94" s="68" t="s">
        <v>362</v>
      </c>
      <c r="B94" t="s">
        <v>363</v>
      </c>
      <c r="C94" s="56">
        <f>(('Unit Costs'!$G$35+(Assumptions!$I$80-2)*'Unit Costs'!$G$36)*Assumptions!$I$81)*$B$9/$B$10</f>
        <v>0</v>
      </c>
      <c r="D94" s="56">
        <f>IF(AND(Assumptions!$I$11="Yes",Assumptions!$I$12=Lists!$AB$4),C94,0)</f>
        <v>0</v>
      </c>
      <c r="E94" s="56">
        <f>D94</f>
        <v>0</v>
      </c>
      <c r="F94" t="s">
        <v>572</v>
      </c>
    </row>
    <row r="95" spans="1:6" x14ac:dyDescent="0.3">
      <c r="A95" s="68"/>
      <c r="B95" t="s">
        <v>364</v>
      </c>
      <c r="C95" s="56">
        <f>(('Unit Costs'!$G$35+(Assumptions!$I$82-2)*'Unit Costs'!$G$36)*Assumptions!$I$83)*$B$9/$B$10</f>
        <v>0</v>
      </c>
      <c r="D95" s="56">
        <f>IF(AND(Assumptions!$I$11="Yes",Assumptions!$I$12=Lists!$AB$4),C95,0)</f>
        <v>0</v>
      </c>
      <c r="E95" s="56">
        <f>D95</f>
        <v>0</v>
      </c>
      <c r="F95" t="s">
        <v>572</v>
      </c>
    </row>
    <row r="96" spans="1:6" x14ac:dyDescent="0.3">
      <c r="A96" s="68"/>
      <c r="C96" s="56"/>
      <c r="D96" s="56"/>
      <c r="E96" s="56"/>
    </row>
    <row r="98" spans="1:9" ht="18" x14ac:dyDescent="0.35">
      <c r="A98" s="58" t="s">
        <v>365</v>
      </c>
      <c r="B98" s="58"/>
      <c r="C98" s="58"/>
      <c r="D98" s="58"/>
      <c r="E98" s="58"/>
      <c r="F98" s="58"/>
      <c r="G98" s="58"/>
      <c r="H98" s="58"/>
      <c r="I98" s="58"/>
    </row>
    <row r="99" spans="1:9" x14ac:dyDescent="0.3">
      <c r="A99" s="13" t="s">
        <v>14</v>
      </c>
      <c r="E99" s="56">
        <f>SUM(E15:$E$31)</f>
        <v>115824.33333333333</v>
      </c>
      <c r="F99" t="s">
        <v>299</v>
      </c>
    </row>
    <row r="100" spans="1:9" x14ac:dyDescent="0.3">
      <c r="E100" s="56">
        <f>E99/$B$6</f>
        <v>11030.888888888889</v>
      </c>
      <c r="F100" t="s">
        <v>366</v>
      </c>
    </row>
    <row r="101" spans="1:9" x14ac:dyDescent="0.3">
      <c r="E101" s="74">
        <f>E99/$B$3</f>
        <v>110.30888888888889</v>
      </c>
      <c r="F101" s="75" t="s">
        <v>311</v>
      </c>
    </row>
    <row r="103" spans="1:9" x14ac:dyDescent="0.3">
      <c r="A103" s="13" t="s">
        <v>15</v>
      </c>
      <c r="E103" s="74">
        <f>SUM($E$34:$E$43)</f>
        <v>1631</v>
      </c>
      <c r="F103" s="75" t="s">
        <v>311</v>
      </c>
    </row>
    <row r="104" spans="1:9" x14ac:dyDescent="0.3">
      <c r="E104" s="56"/>
    </row>
    <row r="105" spans="1:9" x14ac:dyDescent="0.3">
      <c r="A105" s="13" t="s">
        <v>16</v>
      </c>
      <c r="E105" s="74">
        <f>SUM($E$46:$E$51)</f>
        <v>11091.24</v>
      </c>
      <c r="F105" s="75" t="s">
        <v>311</v>
      </c>
    </row>
    <row r="107" spans="1:9" x14ac:dyDescent="0.3">
      <c r="A107" s="13" t="s">
        <v>17</v>
      </c>
      <c r="E107" s="56">
        <f>SUM($E$55:$E$72)</f>
        <v>624054.71923809522</v>
      </c>
      <c r="F107" t="s">
        <v>366</v>
      </c>
    </row>
    <row r="108" spans="1:9" x14ac:dyDescent="0.3">
      <c r="E108" s="74">
        <f>E107*$B$6/$B$3</f>
        <v>6240.5471923809528</v>
      </c>
      <c r="F108" s="75" t="s">
        <v>311</v>
      </c>
    </row>
    <row r="109" spans="1:9" x14ac:dyDescent="0.3">
      <c r="E109" s="56"/>
    </row>
    <row r="110" spans="1:9" x14ac:dyDescent="0.3">
      <c r="A110" s="13" t="s">
        <v>18</v>
      </c>
      <c r="E110" s="56">
        <f>SUM($E$76:$E$96)</f>
        <v>0</v>
      </c>
      <c r="F110" t="s">
        <v>367</v>
      </c>
    </row>
    <row r="111" spans="1:9" x14ac:dyDescent="0.3">
      <c r="E111" s="74">
        <f>E110*$B$10/$B$3</f>
        <v>0</v>
      </c>
      <c r="F111" s="75" t="s">
        <v>311</v>
      </c>
    </row>
    <row r="112" spans="1:9" x14ac:dyDescent="0.3">
      <c r="E112" s="56"/>
    </row>
    <row r="113" spans="1:8" x14ac:dyDescent="0.3">
      <c r="A113" s="13" t="s">
        <v>19</v>
      </c>
      <c r="E113" s="74">
        <f>SUM(E101,E103,E105,E108)*Assumptions!$I$22</f>
        <v>953.65480406349207</v>
      </c>
      <c r="F113" s="75" t="s">
        <v>311</v>
      </c>
    </row>
    <row r="115" spans="1:8" x14ac:dyDescent="0.3">
      <c r="A115" s="70" t="s">
        <v>368</v>
      </c>
      <c r="B115" s="55"/>
      <c r="C115" s="55"/>
      <c r="D115" s="55"/>
      <c r="E115" s="71">
        <f>SUM($E$101,$E$103,$E$105,$E$108,$E$111,$E$113)</f>
        <v>20026.750885333331</v>
      </c>
      <c r="F115" s="70" t="s">
        <v>311</v>
      </c>
      <c r="G115" s="56"/>
    </row>
    <row r="116" spans="1:8" x14ac:dyDescent="0.3">
      <c r="A116" s="69"/>
      <c r="B116" s="69"/>
      <c r="C116" s="69"/>
      <c r="D116" s="69"/>
      <c r="E116" s="72">
        <f>E115/Assumptions!$I$20</f>
        <v>572.19288243809513</v>
      </c>
      <c r="F116" s="73" t="s">
        <v>369</v>
      </c>
      <c r="G116" s="56"/>
    </row>
    <row r="117" spans="1:8" x14ac:dyDescent="0.3">
      <c r="A117" s="70" t="s">
        <v>370</v>
      </c>
      <c r="B117" s="55"/>
      <c r="C117" s="55"/>
      <c r="D117" s="55"/>
      <c r="E117" s="80">
        <f>E115/Assumptions!$I$23</f>
        <v>1082.5270748828827</v>
      </c>
      <c r="F117" s="70" t="s">
        <v>311</v>
      </c>
      <c r="G117" s="56"/>
      <c r="H117" s="79"/>
    </row>
    <row r="118" spans="1:8" x14ac:dyDescent="0.3">
      <c r="A118" s="69"/>
      <c r="B118" s="69"/>
      <c r="C118" s="69"/>
      <c r="D118" s="69"/>
      <c r="E118" s="81">
        <f>E117/Assumptions!$I$20</f>
        <v>30.929344996653793</v>
      </c>
      <c r="F118" s="73" t="s">
        <v>369</v>
      </c>
      <c r="G118" s="56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8CAC7-F84A-4E3D-8BD1-DE7EDF0B601C}">
  <sheetPr>
    <tabColor rgb="FF00B050"/>
  </sheetPr>
  <dimension ref="A1:I118"/>
  <sheetViews>
    <sheetView topLeftCell="A19" zoomScale="88" workbookViewId="0">
      <selection activeCell="E43" sqref="E43"/>
    </sheetView>
  </sheetViews>
  <sheetFormatPr defaultRowHeight="14.4" x14ac:dyDescent="0.3"/>
  <cols>
    <col min="1" max="1" width="47" customWidth="1"/>
    <col min="2" max="2" width="56.44140625" customWidth="1"/>
    <col min="3" max="3" width="22.33203125" customWidth="1"/>
    <col min="4" max="4" width="28.6640625" customWidth="1"/>
    <col min="5" max="5" width="27.6640625" customWidth="1"/>
    <col min="6" max="6" width="38.6640625" customWidth="1"/>
    <col min="7" max="7" width="9.33203125" bestFit="1" customWidth="1"/>
    <col min="8" max="8" width="34" customWidth="1"/>
    <col min="10" max="10" width="28.88671875" customWidth="1"/>
  </cols>
  <sheetData>
    <row r="1" spans="1:9" ht="18" x14ac:dyDescent="0.35">
      <c r="A1" s="58" t="s">
        <v>282</v>
      </c>
      <c r="B1" s="58"/>
      <c r="C1" s="58"/>
      <c r="D1" s="58"/>
      <c r="E1" s="58"/>
      <c r="F1" s="58"/>
      <c r="G1" s="58"/>
      <c r="H1" s="58"/>
      <c r="I1" s="58"/>
    </row>
    <row r="2" spans="1:9" ht="13.5" customHeight="1" x14ac:dyDescent="0.3">
      <c r="A2" t="s">
        <v>283</v>
      </c>
      <c r="B2" s="59">
        <f>Assumptions!$J$14</f>
        <v>175</v>
      </c>
      <c r="C2" s="13"/>
      <c r="D2" s="13"/>
    </row>
    <row r="3" spans="1:9" ht="13.5" customHeight="1" x14ac:dyDescent="0.3">
      <c r="A3" t="s">
        <v>284</v>
      </c>
      <c r="B3" s="59">
        <f>Assumptions!$J$14*Assumptions!$J$16</f>
        <v>1050</v>
      </c>
      <c r="C3" s="13"/>
      <c r="D3" s="13"/>
    </row>
    <row r="4" spans="1:9" ht="13.5" customHeight="1" x14ac:dyDescent="0.3">
      <c r="A4" t="s">
        <v>285</v>
      </c>
      <c r="B4" s="59">
        <f>$B$3*Assumptions!$J$20</f>
        <v>36750</v>
      </c>
      <c r="C4" s="13"/>
      <c r="D4" s="13"/>
      <c r="E4" s="59"/>
    </row>
    <row r="5" spans="1:9" ht="6.75" customHeight="1" x14ac:dyDescent="0.3">
      <c r="B5" s="59"/>
      <c r="C5" s="13"/>
      <c r="D5" s="13"/>
      <c r="E5" s="59"/>
    </row>
    <row r="6" spans="1:9" ht="13.5" customHeight="1" x14ac:dyDescent="0.3">
      <c r="A6" t="s">
        <v>286</v>
      </c>
      <c r="B6" s="59">
        <f>B3/Assumptions!$J$17</f>
        <v>1050</v>
      </c>
      <c r="C6" s="13"/>
      <c r="D6" s="13"/>
      <c r="E6" s="59"/>
    </row>
    <row r="7" spans="1:9" ht="13.5" customHeight="1" x14ac:dyDescent="0.3">
      <c r="A7" t="s">
        <v>287</v>
      </c>
      <c r="B7" s="59">
        <f>ROUNDUP(B6/Assumptions!$J$64,0)</f>
        <v>53</v>
      </c>
      <c r="C7" s="13"/>
      <c r="D7" s="13"/>
    </row>
    <row r="8" spans="1:9" ht="6.75" customHeight="1" x14ac:dyDescent="0.3">
      <c r="B8" s="59"/>
      <c r="C8" s="13"/>
      <c r="D8" s="13"/>
    </row>
    <row r="9" spans="1:9" ht="13.5" customHeight="1" x14ac:dyDescent="0.3">
      <c r="A9" t="s">
        <v>288</v>
      </c>
      <c r="B9" s="59">
        <f>$B$2</f>
        <v>175</v>
      </c>
      <c r="C9" s="13"/>
      <c r="D9" s="13"/>
    </row>
    <row r="10" spans="1:9" ht="13.5" customHeight="1" x14ac:dyDescent="0.3">
      <c r="A10" t="s">
        <v>289</v>
      </c>
      <c r="B10" s="59">
        <f>ROUND($B$9/Assumptions!$J$18,0)</f>
        <v>9</v>
      </c>
    </row>
    <row r="11" spans="1:9" ht="13.5" customHeight="1" x14ac:dyDescent="0.3">
      <c r="A11" t="s">
        <v>290</v>
      </c>
      <c r="B11" s="59">
        <f>ROUNDUP($B$10/Assumptions!$J$74,0)</f>
        <v>1</v>
      </c>
    </row>
    <row r="12" spans="1:9" ht="6.75" customHeight="1" x14ac:dyDescent="0.3">
      <c r="B12" s="59"/>
    </row>
    <row r="13" spans="1:9" ht="18" x14ac:dyDescent="0.35">
      <c r="A13" s="58" t="s">
        <v>291</v>
      </c>
      <c r="B13" s="58"/>
      <c r="C13" s="58"/>
      <c r="D13" s="58"/>
      <c r="E13" s="58"/>
      <c r="F13" s="58"/>
      <c r="G13" s="58"/>
      <c r="H13" s="58"/>
      <c r="I13" s="58"/>
    </row>
    <row r="14" spans="1:9" s="13" customFormat="1" x14ac:dyDescent="0.3">
      <c r="A14" s="13" t="s">
        <v>292</v>
      </c>
      <c r="B14" s="13" t="s">
        <v>293</v>
      </c>
      <c r="C14" s="13" t="s">
        <v>294</v>
      </c>
      <c r="D14" s="13" t="s">
        <v>295</v>
      </c>
      <c r="E14" s="13" t="s">
        <v>296</v>
      </c>
      <c r="F14" s="13" t="s">
        <v>297</v>
      </c>
    </row>
    <row r="15" spans="1:9" x14ac:dyDescent="0.3">
      <c r="B15" t="s">
        <v>298</v>
      </c>
      <c r="C15" s="56">
        <f>'Unit Costs'!$G$3*Assumptions!$J$27</f>
        <v>77440</v>
      </c>
      <c r="D15" s="56">
        <f>C15</f>
        <v>77440</v>
      </c>
      <c r="E15" s="56">
        <f>D15/Assumptions!$J$31</f>
        <v>6453.333333333333</v>
      </c>
      <c r="F15" t="s">
        <v>299</v>
      </c>
      <c r="H15" s="57"/>
    </row>
    <row r="16" spans="1:9" x14ac:dyDescent="0.3">
      <c r="B16" t="s">
        <v>300</v>
      </c>
      <c r="C16" s="56">
        <f>('Unit Costs'!$G$4+'Unit Costs'!$G$5)*Assumptions!$J$29*Assumptions!$J$28</f>
        <v>135510</v>
      </c>
      <c r="D16" s="56">
        <f>C16</f>
        <v>135510</v>
      </c>
      <c r="E16" s="56">
        <f>D16/Assumptions!$J$31</f>
        <v>11292.5</v>
      </c>
      <c r="F16" t="s">
        <v>299</v>
      </c>
    </row>
    <row r="17" spans="1:8" ht="15" customHeight="1" x14ac:dyDescent="0.3">
      <c r="B17" t="s">
        <v>569</v>
      </c>
      <c r="C17" s="56">
        <f>(('Unit Costs'!$G$6*Assumptions!$J$28)+('Unit Costs'!$G$7))*Assumptions!$J$30</f>
        <v>54408</v>
      </c>
      <c r="D17" s="56">
        <f>C17</f>
        <v>54408</v>
      </c>
      <c r="E17" s="56">
        <f>D17/Assumptions!$J$31</f>
        <v>4534</v>
      </c>
      <c r="F17" t="s">
        <v>299</v>
      </c>
    </row>
    <row r="18" spans="1:8" x14ac:dyDescent="0.3">
      <c r="B18" t="s">
        <v>302</v>
      </c>
      <c r="C18" s="56">
        <f>'Unit Costs'!$G$3*Assumptions!$J$38</f>
        <v>19360</v>
      </c>
      <c r="D18" s="56">
        <f>IF(Assumptions!$J$10="Home Language",0,$C18)</f>
        <v>19360</v>
      </c>
      <c r="E18" s="56">
        <f>D18/Assumptions!$J$42</f>
        <v>1613.3333333333333</v>
      </c>
      <c r="F18" t="s">
        <v>299</v>
      </c>
    </row>
    <row r="19" spans="1:8" x14ac:dyDescent="0.3">
      <c r="B19" t="s">
        <v>303</v>
      </c>
      <c r="C19" s="56">
        <f>('Unit Costs'!$G$4+'Unit Costs'!$G$5)*Assumptions!$J$39*Assumptions!$J$40</f>
        <v>67755</v>
      </c>
      <c r="D19" s="56">
        <f>IF(Assumptions!$J$10="Home Language",0,$C19)</f>
        <v>67755</v>
      </c>
      <c r="E19" s="56">
        <f>D19/Assumptions!$J$42</f>
        <v>5646.25</v>
      </c>
      <c r="F19" t="s">
        <v>299</v>
      </c>
    </row>
    <row r="20" spans="1:8" x14ac:dyDescent="0.3">
      <c r="B20" t="s">
        <v>558</v>
      </c>
      <c r="C20" s="56">
        <f>(('Unit Costs'!$G$6*Assumptions!$J$39)+('Unit Costs'!$G$7))*Assumptions!$J$41</f>
        <v>45272</v>
      </c>
      <c r="D20" s="56">
        <f>IF(Assumptions!$J$10="Home Language",0,$C20)</f>
        <v>45272</v>
      </c>
      <c r="E20" s="56">
        <f>D20/Assumptions!$J$42</f>
        <v>3772.6666666666665</v>
      </c>
      <c r="F20" t="s">
        <v>299</v>
      </c>
    </row>
    <row r="21" spans="1:8" x14ac:dyDescent="0.3">
      <c r="C21" s="56"/>
      <c r="D21" s="56"/>
      <c r="E21" s="56"/>
    </row>
    <row r="22" spans="1:8" x14ac:dyDescent="0.3">
      <c r="A22" s="13" t="s">
        <v>304</v>
      </c>
      <c r="C22" s="56"/>
      <c r="D22" s="56"/>
      <c r="E22" s="56"/>
      <c r="H22" s="57"/>
    </row>
    <row r="23" spans="1:8" x14ac:dyDescent="0.3">
      <c r="A23" s="13"/>
      <c r="B23" t="s">
        <v>305</v>
      </c>
      <c r="C23" s="56">
        <f>'Unit Costs'!$G$3*Assumptions!$J$32</f>
        <v>19360</v>
      </c>
      <c r="D23" s="56">
        <f>C23</f>
        <v>19360</v>
      </c>
      <c r="E23" s="56">
        <f>D23*Assumptions!$J$36/Assumptions!$J$31</f>
        <v>4840</v>
      </c>
      <c r="F23" t="s">
        <v>299</v>
      </c>
      <c r="H23" s="57"/>
    </row>
    <row r="24" spans="1:8" x14ac:dyDescent="0.3">
      <c r="B24" t="s">
        <v>300</v>
      </c>
      <c r="C24" s="56">
        <f>('Unit Costs'!$G$4+'Unit Costs'!$G$5)*Assumptions!$J$34*Assumptions!$J$33</f>
        <v>135510</v>
      </c>
      <c r="D24" s="56">
        <f>C24</f>
        <v>135510</v>
      </c>
      <c r="E24" s="56">
        <f>D24*Assumptions!$J$36/Assumptions!$J$31</f>
        <v>33877.5</v>
      </c>
      <c r="F24" t="s">
        <v>299</v>
      </c>
    </row>
    <row r="25" spans="1:8" ht="15" customHeight="1" x14ac:dyDescent="0.3">
      <c r="B25" t="s">
        <v>569</v>
      </c>
      <c r="C25" s="56">
        <f>(('Unit Costs'!$G$6*Assumptions!$J$33)+('Unit Costs'!$G$7))*Assumptions!$J$35</f>
        <v>54408</v>
      </c>
      <c r="D25" s="56">
        <f>C25</f>
        <v>54408</v>
      </c>
      <c r="E25" s="56">
        <f>D25*Assumptions!$J$36/Assumptions!$J$31</f>
        <v>13602</v>
      </c>
      <c r="F25" t="s">
        <v>299</v>
      </c>
    </row>
    <row r="26" spans="1:8" x14ac:dyDescent="0.3">
      <c r="B26" t="s">
        <v>306</v>
      </c>
      <c r="C26" s="56">
        <f>'Unit Costs'!$G$3*Assumptions!$J$43</f>
        <v>7744</v>
      </c>
      <c r="D26" s="56">
        <f>IF(Assumptions!$J$10="Home Language",0,$C26)</f>
        <v>7744</v>
      </c>
      <c r="E26" s="56">
        <f>D26*Assumptions!$J$47/Assumptions!$J$42</f>
        <v>1936</v>
      </c>
      <c r="F26" t="s">
        <v>299</v>
      </c>
    </row>
    <row r="27" spans="1:8" x14ac:dyDescent="0.3">
      <c r="B27" t="s">
        <v>303</v>
      </c>
      <c r="C27" s="56">
        <f>('Unit Costs'!$G$4+'Unit Costs'!$G$5)*Assumptions!$J$44*Assumptions!$J$45</f>
        <v>67755</v>
      </c>
      <c r="D27" s="56">
        <f>IF(Assumptions!$J$10="Home Language",0,$C27)</f>
        <v>67755</v>
      </c>
      <c r="E27" s="56">
        <f>D27*Assumptions!$J$47/Assumptions!$J$42</f>
        <v>16938.75</v>
      </c>
      <c r="F27" t="s">
        <v>299</v>
      </c>
    </row>
    <row r="28" spans="1:8" x14ac:dyDescent="0.3">
      <c r="B28" t="s">
        <v>558</v>
      </c>
      <c r="C28" s="56">
        <f>(('Unit Costs'!$G$6*Assumptions!$J$44)+('Unit Costs'!$G$7))*Assumptions!$J$46</f>
        <v>45272</v>
      </c>
      <c r="D28" s="56">
        <f>IF(Assumptions!$J$10="Home Language",0,$C28)</f>
        <v>45272</v>
      </c>
      <c r="E28" s="56">
        <f>D28*Assumptions!$J$47/Assumptions!$J$42</f>
        <v>11318</v>
      </c>
      <c r="F28" t="s">
        <v>299</v>
      </c>
    </row>
    <row r="29" spans="1:8" x14ac:dyDescent="0.3">
      <c r="C29" s="56"/>
      <c r="D29" s="56"/>
      <c r="E29" s="56"/>
    </row>
    <row r="30" spans="1:8" x14ac:dyDescent="0.3">
      <c r="A30" s="13" t="s">
        <v>307</v>
      </c>
      <c r="C30" s="56"/>
      <c r="D30" s="56"/>
      <c r="E30" s="56"/>
    </row>
    <row r="31" spans="1:8" x14ac:dyDescent="0.3">
      <c r="A31" s="13"/>
      <c r="B31" t="s">
        <v>308</v>
      </c>
      <c r="C31" s="56">
        <f>'Unit Costs'!$G$10</f>
        <v>150000</v>
      </c>
      <c r="D31" s="56">
        <f>IF(Assumptions!$J$13="Yes",$C31,0)</f>
        <v>0</v>
      </c>
      <c r="E31" s="56">
        <f>D31</f>
        <v>0</v>
      </c>
      <c r="F31" t="s">
        <v>299</v>
      </c>
    </row>
    <row r="33" spans="1:6" x14ac:dyDescent="0.3">
      <c r="A33" s="13" t="s">
        <v>309</v>
      </c>
      <c r="C33" s="56"/>
      <c r="D33" s="56"/>
      <c r="E33" s="56"/>
    </row>
    <row r="34" spans="1:6" x14ac:dyDescent="0.3">
      <c r="A34" s="13"/>
      <c r="B34" t="s">
        <v>310</v>
      </c>
      <c r="C34" s="56">
        <f>'Unit Costs'!$G$13</f>
        <v>1505</v>
      </c>
      <c r="D34" s="56">
        <f>C34</f>
        <v>1505</v>
      </c>
      <c r="E34" s="56">
        <f>D34/Assumptions!$J$50</f>
        <v>752.5</v>
      </c>
      <c r="F34" t="s">
        <v>311</v>
      </c>
    </row>
    <row r="35" spans="1:6" x14ac:dyDescent="0.3">
      <c r="B35" t="s">
        <v>312</v>
      </c>
      <c r="C35" s="56">
        <f>'Unit Costs'!$G$16</f>
        <v>811</v>
      </c>
      <c r="D35" s="56">
        <f>IF(Assumptions!$J$10="Home Language",0,$C35)</f>
        <v>811</v>
      </c>
      <c r="E35" s="56">
        <f>D35/Assumptions!$J$50</f>
        <v>405.5</v>
      </c>
      <c r="F35" t="s">
        <v>311</v>
      </c>
    </row>
    <row r="36" spans="1:6" x14ac:dyDescent="0.3">
      <c r="C36" s="56"/>
      <c r="D36" s="56"/>
      <c r="E36" s="56"/>
    </row>
    <row r="37" spans="1:6" x14ac:dyDescent="0.3">
      <c r="A37" s="13" t="s">
        <v>313</v>
      </c>
      <c r="C37" s="56"/>
      <c r="D37" s="56"/>
      <c r="E37" s="56"/>
    </row>
    <row r="38" spans="1:6" x14ac:dyDescent="0.3">
      <c r="A38" s="13"/>
      <c r="B38" t="s">
        <v>314</v>
      </c>
      <c r="C38" s="56">
        <f>'Unit Costs'!$G$12</f>
        <v>615</v>
      </c>
      <c r="D38" s="56">
        <f>IF(Assumptions!$J$13="Yes",0,$C38)</f>
        <v>615</v>
      </c>
      <c r="E38" s="56">
        <f>D38/Assumptions!$J$50</f>
        <v>307.5</v>
      </c>
      <c r="F38" t="s">
        <v>311</v>
      </c>
    </row>
    <row r="39" spans="1:6" x14ac:dyDescent="0.3">
      <c r="B39" t="s">
        <v>315</v>
      </c>
      <c r="C39" s="56">
        <f>'Unit Costs'!$G$15</f>
        <v>331</v>
      </c>
      <c r="D39" s="56">
        <f>IF(OR(Assumptions!$J$13="Yes", Assumptions!$J$10="Home Language"),0,$C39)</f>
        <v>331</v>
      </c>
      <c r="E39" s="56">
        <f>D39/Assumptions!$J$50</f>
        <v>165.5</v>
      </c>
      <c r="F39" t="s">
        <v>311</v>
      </c>
    </row>
    <row r="40" spans="1:6" x14ac:dyDescent="0.3">
      <c r="C40" s="56"/>
      <c r="D40" s="56"/>
      <c r="E40" s="56"/>
    </row>
    <row r="41" spans="1:6" x14ac:dyDescent="0.3">
      <c r="A41" s="13" t="s">
        <v>316</v>
      </c>
      <c r="C41" s="56"/>
      <c r="D41" s="56"/>
      <c r="E41" s="56"/>
    </row>
    <row r="42" spans="1:6" x14ac:dyDescent="0.3">
      <c r="A42" s="13"/>
      <c r="B42" t="s">
        <v>199</v>
      </c>
      <c r="C42" s="56">
        <f>'Unit Costs'!$G$18</f>
        <v>2839</v>
      </c>
      <c r="D42" s="56">
        <f>IF(Assumptions!$J$13="Yes",$C42,0)</f>
        <v>0</v>
      </c>
      <c r="E42" s="56">
        <f>D42/Assumptions!$J$50</f>
        <v>0</v>
      </c>
      <c r="F42" t="s">
        <v>311</v>
      </c>
    </row>
    <row r="43" spans="1:6" x14ac:dyDescent="0.3">
      <c r="B43" t="s">
        <v>203</v>
      </c>
      <c r="C43" s="56">
        <f>'Unit Costs'!$G$19</f>
        <v>900</v>
      </c>
      <c r="D43" s="56">
        <f>IF(Assumptions!$J$13="Yes",$C43,0)</f>
        <v>0</v>
      </c>
      <c r="E43" s="56">
        <f>D43</f>
        <v>0</v>
      </c>
      <c r="F43" t="s">
        <v>311</v>
      </c>
    </row>
    <row r="45" spans="1:6" x14ac:dyDescent="0.3">
      <c r="A45" s="13" t="s">
        <v>16</v>
      </c>
      <c r="C45" s="56"/>
      <c r="D45" s="56"/>
      <c r="E45" s="56"/>
    </row>
    <row r="46" spans="1:6" x14ac:dyDescent="0.3">
      <c r="A46" s="13"/>
      <c r="B46" t="s">
        <v>317</v>
      </c>
      <c r="C46" s="56">
        <f>'Unit Costs'!$G$37*(Assumptions!$J$55*Assumptions!$J$56)</f>
        <v>1239</v>
      </c>
      <c r="D46" s="56">
        <f t="shared" ref="D46:E50" si="0">C46</f>
        <v>1239</v>
      </c>
      <c r="E46" s="56">
        <f t="shared" si="0"/>
        <v>1239</v>
      </c>
      <c r="F46" t="s">
        <v>311</v>
      </c>
    </row>
    <row r="47" spans="1:6" x14ac:dyDescent="0.3">
      <c r="A47" s="13"/>
      <c r="B47" t="s">
        <v>318</v>
      </c>
      <c r="C47" s="56">
        <f>(Assumptions!$J$55-1)*Assumptions!$J$56*'Unit Costs'!$G$34</f>
        <v>2880</v>
      </c>
      <c r="D47" s="56">
        <f>C47</f>
        <v>2880</v>
      </c>
      <c r="E47" s="56">
        <f>D47</f>
        <v>2880</v>
      </c>
      <c r="F47" t="s">
        <v>311</v>
      </c>
    </row>
    <row r="48" spans="1:6" x14ac:dyDescent="0.3">
      <c r="B48" t="s">
        <v>319</v>
      </c>
      <c r="C48" s="56">
        <f>'Unit Costs'!$G$37*(Assumptions!$J$57*Assumptions!$J$58)</f>
        <v>2478</v>
      </c>
      <c r="D48" s="56">
        <f t="shared" si="0"/>
        <v>2478</v>
      </c>
      <c r="E48" s="56">
        <f t="shared" si="0"/>
        <v>2478</v>
      </c>
      <c r="F48" t="s">
        <v>311</v>
      </c>
    </row>
    <row r="49" spans="1:9" x14ac:dyDescent="0.3">
      <c r="B49" t="s">
        <v>320</v>
      </c>
      <c r="C49" s="56">
        <f>(Assumptions!$J$57-1)*Assumptions!$J$58*'Unit Costs'!$G$34</f>
        <v>4320</v>
      </c>
      <c r="D49" s="56">
        <f>C49</f>
        <v>4320</v>
      </c>
      <c r="E49" s="56">
        <f>D49</f>
        <v>4320</v>
      </c>
      <c r="F49" t="s">
        <v>311</v>
      </c>
    </row>
    <row r="50" spans="1:9" x14ac:dyDescent="0.3">
      <c r="B50" t="s">
        <v>321</v>
      </c>
      <c r="C50" s="56">
        <f>'Unit Costs'!$G$38*Assumptions!$J$59*Assumptions!$J$60</f>
        <v>0</v>
      </c>
      <c r="D50" s="56">
        <f t="shared" si="0"/>
        <v>0</v>
      </c>
      <c r="E50" s="56">
        <f t="shared" si="0"/>
        <v>0</v>
      </c>
      <c r="F50" t="s">
        <v>311</v>
      </c>
    </row>
    <row r="51" spans="1:9" x14ac:dyDescent="0.3">
      <c r="B51" s="149" t="s">
        <v>322</v>
      </c>
      <c r="C51" s="56">
        <f>'Unit Costs'!$G$31*ROUNDUP($B$3/Assumptions!$J$53,0)*(Assumptions!$J$55*Assumptions!$J$56+Assumptions!$J$57*Assumptions!$J$58)/$B$3</f>
        <v>696.96</v>
      </c>
      <c r="D51" s="56">
        <f>IF(Assumptions!$J$11 = "Yes", C51*Assumptions!$J$54, C51)</f>
        <v>174.24</v>
      </c>
      <c r="E51" s="56">
        <f>D51</f>
        <v>174.24</v>
      </c>
      <c r="F51" t="s">
        <v>311</v>
      </c>
      <c r="G51" t="s">
        <v>323</v>
      </c>
    </row>
    <row r="53" spans="1:9" ht="18" x14ac:dyDescent="0.35">
      <c r="A53" s="58" t="s">
        <v>324</v>
      </c>
      <c r="B53" s="58"/>
      <c r="C53" s="58"/>
      <c r="D53" s="58"/>
      <c r="E53" s="58"/>
      <c r="F53" s="58"/>
      <c r="G53" s="58"/>
      <c r="H53" s="58"/>
      <c r="I53" s="58"/>
    </row>
    <row r="54" spans="1:9" ht="15.6" x14ac:dyDescent="0.3">
      <c r="A54" s="13" t="s">
        <v>325</v>
      </c>
      <c r="B54" s="13"/>
      <c r="C54" s="13"/>
      <c r="D54" s="13"/>
      <c r="E54" s="13"/>
      <c r="F54" s="13"/>
      <c r="H54" s="60"/>
    </row>
    <row r="55" spans="1:9" x14ac:dyDescent="0.3">
      <c r="A55" s="68" t="s">
        <v>326</v>
      </c>
      <c r="B55" t="s">
        <v>327</v>
      </c>
      <c r="C55" s="56">
        <f>'Unit Costs'!$G$21*'Unit Costs'!$E$21</f>
        <v>61950.119999999995</v>
      </c>
      <c r="D55" s="56">
        <f>IF(AND(Assumptions!$J$11="Yes",OR(Assumptions!$J$12=Lists!$AB$2,Assumptions!$J$12=Lists!$AB$3)), C55, 0)</f>
        <v>0</v>
      </c>
      <c r="E55" s="56">
        <f>D55/Assumptions!$J$66</f>
        <v>0</v>
      </c>
      <c r="F55" t="s">
        <v>366</v>
      </c>
      <c r="H55" s="59"/>
    </row>
    <row r="56" spans="1:9" x14ac:dyDescent="0.3">
      <c r="A56" s="68"/>
      <c r="B56" t="s">
        <v>329</v>
      </c>
      <c r="C56" s="56">
        <f>'Unit Costs'!$G$44</f>
        <v>7744</v>
      </c>
      <c r="D56" s="56">
        <f>IF(AND(Assumptions!$J$11="Yes",OR(Assumptions!$J$12=Lists!$AB$2,Assumptions!$J$12=Lists!$AB$3)), C56, 0)</f>
        <v>0</v>
      </c>
      <c r="E56" s="56">
        <f>D56/Assumptions!$J$67</f>
        <v>0</v>
      </c>
      <c r="F56" t="s">
        <v>366</v>
      </c>
    </row>
    <row r="57" spans="1:9" x14ac:dyDescent="0.3">
      <c r="A57" s="68"/>
      <c r="B57" t="s">
        <v>330</v>
      </c>
      <c r="C57" s="56">
        <f>'Unit Costs'!$G$24</f>
        <v>38719</v>
      </c>
      <c r="D57" s="56">
        <f>IF(AND(Assumptions!$J$11="Yes",OR(Assumptions!$J$12=Lists!$AB$2,Assumptions!$J$12=Lists!$AB$3)), C57, 0)</f>
        <v>0</v>
      </c>
      <c r="E57" s="56">
        <f>D57/Assumptions!$J$66</f>
        <v>0</v>
      </c>
      <c r="F57" t="s">
        <v>366</v>
      </c>
    </row>
    <row r="58" spans="1:9" x14ac:dyDescent="0.3">
      <c r="A58" s="68"/>
      <c r="B58" t="s">
        <v>331</v>
      </c>
      <c r="C58" s="56">
        <f>Assumptions!$J$69*'Unit Costs'!$G$26</f>
        <v>3225</v>
      </c>
      <c r="D58" s="56">
        <f>IF(AND(Assumptions!$J$11="Yes",OR(Assumptions!$J$12=Lists!$AB$2,Assumptions!$J$12=Lists!$AB$3)), C58, 0)</f>
        <v>0</v>
      </c>
      <c r="E58" s="56">
        <f>D58/Assumptions!$J$66</f>
        <v>0</v>
      </c>
      <c r="F58" t="s">
        <v>366</v>
      </c>
    </row>
    <row r="59" spans="1:9" x14ac:dyDescent="0.3">
      <c r="A59" s="68"/>
      <c r="B59" t="s">
        <v>332</v>
      </c>
      <c r="C59" s="56">
        <f>(Assumptions!$J$69-1)*'Unit Costs'!$G$27</f>
        <v>5760</v>
      </c>
      <c r="D59" s="56">
        <f>IF(AND(Assumptions!$J$11="Yes",OR(Assumptions!$J$12=Lists!$AB$2,Assumptions!$J$12=Lists!$AB$3)), C59, 0)</f>
        <v>0</v>
      </c>
      <c r="E59" s="56">
        <f>D59/Assumptions!$J$66</f>
        <v>0</v>
      </c>
      <c r="F59" t="s">
        <v>366</v>
      </c>
    </row>
    <row r="60" spans="1:9" x14ac:dyDescent="0.3">
      <c r="A60" s="68"/>
      <c r="B60" s="149" t="s">
        <v>555</v>
      </c>
      <c r="C60" s="56">
        <f>'Unit Costs'!$G$32*ROUNDUP($B$6/Assumptions!$J$64,0)*Assumptions!C$69/($B$6)</f>
        <v>1628.6142857142856</v>
      </c>
      <c r="D60" s="56">
        <f>IF(AND(Assumptions!$J$11="Yes",OR(Assumptions!$J$12=Lists!$AB$2,Assumptions!$J$12=Lists!$AB$3)), C60, 0)*Assumptions!$G$65</f>
        <v>0</v>
      </c>
      <c r="E60" s="56">
        <f>D60/Assumptions!$J$66</f>
        <v>0</v>
      </c>
      <c r="F60" t="s">
        <v>366</v>
      </c>
    </row>
    <row r="61" spans="1:9" x14ac:dyDescent="0.3">
      <c r="A61" s="68"/>
    </row>
    <row r="62" spans="1:9" x14ac:dyDescent="0.3">
      <c r="A62" s="68" t="s">
        <v>334</v>
      </c>
      <c r="B62" t="s">
        <v>571</v>
      </c>
      <c r="C62" s="56">
        <f>'Unit Costs'!$G$29</f>
        <v>516251</v>
      </c>
      <c r="D62" s="56">
        <f>IF(AND(Assumptions!$J$11="Yes",OR(Assumptions!$J$12=Lists!$AB$2,Assumptions!$J$12=Lists!$AB$3)), C62, 0)</f>
        <v>0</v>
      </c>
      <c r="E62" s="56">
        <f t="shared" ref="E62:E67" si="1">D62</f>
        <v>0</v>
      </c>
      <c r="F62" t="s">
        <v>366</v>
      </c>
    </row>
    <row r="63" spans="1:9" x14ac:dyDescent="0.3">
      <c r="A63" s="68"/>
      <c r="B63" t="s">
        <v>336</v>
      </c>
      <c r="C63" s="56">
        <f>'Unit Costs'!$G$30*$B$7/$B$6</f>
        <v>31270.050476190478</v>
      </c>
      <c r="D63" s="56">
        <f>IF(AND(Assumptions!$J$11="Yes",OR(Assumptions!$J$12=Lists!$AB$2,Assumptions!$J$12=Lists!$AB$3)), C63, 0)</f>
        <v>0</v>
      </c>
      <c r="E63" s="56">
        <f t="shared" si="1"/>
        <v>0</v>
      </c>
      <c r="F63" t="s">
        <v>366</v>
      </c>
    </row>
    <row r="64" spans="1:9" x14ac:dyDescent="0.3">
      <c r="A64" s="68"/>
      <c r="B64" t="s">
        <v>337</v>
      </c>
      <c r="C64" s="56">
        <f>'Unit Costs'!$G$40</f>
        <v>4337</v>
      </c>
      <c r="D64" s="56">
        <f>IF(AND(Assumptions!$J$11="Yes",OR(Assumptions!$J$12=Lists!$AB$2,Assumptions!$J$12=Lists!$AB$3)), C64, 0)</f>
        <v>0</v>
      </c>
      <c r="E64" s="56">
        <f t="shared" si="1"/>
        <v>0</v>
      </c>
      <c r="F64" t="s">
        <v>366</v>
      </c>
    </row>
    <row r="65" spans="1:8" x14ac:dyDescent="0.3">
      <c r="A65" s="68"/>
      <c r="B65" t="s">
        <v>338</v>
      </c>
      <c r="C65" s="56">
        <f>4*(Assumptions!$J$70*'Unit Costs'!$G$26)</f>
        <v>5160</v>
      </c>
      <c r="D65" s="56">
        <f>IF(AND(Assumptions!$J$11="Yes",OR(Assumptions!$J$12=Lists!$AB$2,Assumptions!$J$12=Lists!$AB$3)), C65, 0)</f>
        <v>0</v>
      </c>
      <c r="E65" s="56">
        <f t="shared" si="1"/>
        <v>0</v>
      </c>
      <c r="F65" t="s">
        <v>366</v>
      </c>
    </row>
    <row r="66" spans="1:8" x14ac:dyDescent="0.3">
      <c r="A66" s="68"/>
      <c r="B66" t="s">
        <v>339</v>
      </c>
      <c r="C66" s="56">
        <f>4*((Assumptions!$J$70-1)*'Unit Costs'!$G$27)</f>
        <v>5760</v>
      </c>
      <c r="D66" s="56">
        <f>IF(AND(Assumptions!$J$11="Yes",OR(Assumptions!$J$12=Lists!$AB$2,Assumptions!$J$12=Lists!$AB$3)), C66, 0)</f>
        <v>0</v>
      </c>
      <c r="E66" s="56">
        <f t="shared" si="1"/>
        <v>0</v>
      </c>
      <c r="F66" t="s">
        <v>366</v>
      </c>
    </row>
    <row r="67" spans="1:8" x14ac:dyDescent="0.3">
      <c r="A67" s="68"/>
      <c r="B67" s="149" t="s">
        <v>556</v>
      </c>
      <c r="C67" s="56">
        <f>4*'Unit Costs'!$G$32*ROUNDUP($B$6/Assumptions!$J$64,0)*Assumptions!$J$70/($B$6)</f>
        <v>2605.7828571428572</v>
      </c>
      <c r="D67" s="56">
        <f>IF(AND(Assumptions!$J$11="Yes",OR(Assumptions!$J$12=Lists!$AB$2,Assumptions!$J$12=Lists!$AB$3)), C67, 0)*Assumptions!$G$65</f>
        <v>0</v>
      </c>
      <c r="E67" s="56">
        <f t="shared" si="1"/>
        <v>0</v>
      </c>
      <c r="F67" t="s">
        <v>366</v>
      </c>
    </row>
    <row r="68" spans="1:8" x14ac:dyDescent="0.3">
      <c r="A68" s="68"/>
    </row>
    <row r="69" spans="1:8" x14ac:dyDescent="0.3">
      <c r="A69" s="68" t="s">
        <v>341</v>
      </c>
      <c r="B69" s="63" t="s">
        <v>342</v>
      </c>
      <c r="C69" s="64">
        <f>'Unit Costs'!$G$41</f>
        <v>69694</v>
      </c>
      <c r="D69" s="64">
        <f>IF(AND(Assumptions!$J$11="Yes",Assumptions!$J$12=Lists!$AB$2), C69, 0)</f>
        <v>0</v>
      </c>
      <c r="E69" s="64">
        <f>D69</f>
        <v>0</v>
      </c>
      <c r="F69" t="s">
        <v>366</v>
      </c>
      <c r="G69" t="s">
        <v>343</v>
      </c>
    </row>
    <row r="70" spans="1:8" x14ac:dyDescent="0.3">
      <c r="A70" s="68"/>
      <c r="B70" s="63" t="s">
        <v>557</v>
      </c>
      <c r="C70" s="64">
        <f>'Unit Costs'!$G$42</f>
        <v>30975</v>
      </c>
      <c r="D70" s="64">
        <f>IF(AND(Assumptions!$J$11="Yes",Assumptions!$J$12=Lists!$AB$2), C70, 0)</f>
        <v>0</v>
      </c>
      <c r="E70" s="64">
        <f>D70</f>
        <v>0</v>
      </c>
      <c r="F70" t="s">
        <v>366</v>
      </c>
    </row>
    <row r="71" spans="1:8" x14ac:dyDescent="0.3">
      <c r="A71" s="68"/>
      <c r="C71" s="56"/>
      <c r="D71" s="56"/>
      <c r="E71" s="56"/>
    </row>
    <row r="72" spans="1:8" x14ac:dyDescent="0.3">
      <c r="A72" s="68" t="s">
        <v>345</v>
      </c>
      <c r="B72" t="s">
        <v>346</v>
      </c>
      <c r="C72" s="56">
        <f>'Unit Costs'!$G$43</f>
        <v>10067</v>
      </c>
      <c r="D72" s="56">
        <f>IF(AND(Assumptions!$J$11="Yes",Assumptions!$J$12=Lists!$AB$3),C72,0)</f>
        <v>0</v>
      </c>
      <c r="E72" s="56">
        <f>D72</f>
        <v>0</v>
      </c>
      <c r="F72" t="s">
        <v>366</v>
      </c>
    </row>
    <row r="73" spans="1:8" x14ac:dyDescent="0.3">
      <c r="A73" s="68"/>
      <c r="C73" s="56"/>
      <c r="D73" s="56"/>
      <c r="E73" s="56"/>
    </row>
    <row r="74" spans="1:8" x14ac:dyDescent="0.3">
      <c r="A74" s="68"/>
    </row>
    <row r="75" spans="1:8" ht="15.6" x14ac:dyDescent="0.3">
      <c r="A75" s="13" t="s">
        <v>347</v>
      </c>
      <c r="B75" s="13"/>
      <c r="C75" s="13"/>
      <c r="D75" s="13"/>
      <c r="E75" s="13"/>
      <c r="F75" s="13"/>
      <c r="H75" s="60"/>
    </row>
    <row r="76" spans="1:8" x14ac:dyDescent="0.3">
      <c r="A76" s="68" t="s">
        <v>326</v>
      </c>
      <c r="B76" t="s">
        <v>348</v>
      </c>
      <c r="C76" s="56">
        <f>'Unit Costs'!$G$21*'Unit Costs'!$E$21</f>
        <v>61950.119999999995</v>
      </c>
      <c r="D76" s="56">
        <f>IF(AND(Assumptions!$J$11="Yes",Assumptions!$J$12=Lists!$AB$4), C76, 0)</f>
        <v>61950.119999999995</v>
      </c>
      <c r="E76" s="56">
        <f>D76/Assumptions!$J$75</f>
        <v>12390.023999999999</v>
      </c>
      <c r="F76" t="s">
        <v>572</v>
      </c>
      <c r="H76" s="59"/>
    </row>
    <row r="77" spans="1:8" x14ac:dyDescent="0.3">
      <c r="A77" s="68"/>
      <c r="B77" t="s">
        <v>350</v>
      </c>
      <c r="C77" s="56">
        <f>'Unit Costs'!$G$44</f>
        <v>7744</v>
      </c>
      <c r="D77" s="56">
        <f>IF(AND(Assumptions!$J$11="Yes",Assumptions!$J$12=Lists!$AB$4), C77, 0)</f>
        <v>7744</v>
      </c>
      <c r="E77" s="56">
        <f>D77/Assumptions!$J$76</f>
        <v>1548.8</v>
      </c>
      <c r="F77" t="s">
        <v>572</v>
      </c>
    </row>
    <row r="78" spans="1:8" x14ac:dyDescent="0.3">
      <c r="A78" s="68"/>
      <c r="B78" t="s">
        <v>330</v>
      </c>
      <c r="C78" s="56">
        <f>'Unit Costs'!$G$24</f>
        <v>38719</v>
      </c>
      <c r="D78" s="56">
        <f>IF(AND(Assumptions!$J$11="Yes",Assumptions!$J$12=Lists!$AB$4), C78, 0)</f>
        <v>38719</v>
      </c>
      <c r="E78" s="56">
        <f>D78/Assumptions!$J$75</f>
        <v>7743.8</v>
      </c>
      <c r="F78" t="s">
        <v>572</v>
      </c>
    </row>
    <row r="79" spans="1:8" x14ac:dyDescent="0.3">
      <c r="A79" s="68"/>
      <c r="B79" t="s">
        <v>351</v>
      </c>
      <c r="C79" s="56">
        <f>Assumptions!$J$69*'Unit Costs'!$G$26</f>
        <v>3225</v>
      </c>
      <c r="D79" s="56">
        <f>IF(AND(Assumptions!$J$11="Yes",Assumptions!$J$12=Lists!$AB$4), C79, 0)</f>
        <v>3225</v>
      </c>
      <c r="E79" s="56">
        <f>D79/Assumptions!$J$75</f>
        <v>645</v>
      </c>
      <c r="F79" t="s">
        <v>572</v>
      </c>
    </row>
    <row r="80" spans="1:8" x14ac:dyDescent="0.3">
      <c r="A80" s="68"/>
      <c r="B80" t="s">
        <v>352</v>
      </c>
      <c r="C80" s="56">
        <f>(Assumptions!$J$69-1)*'Unit Costs'!$G$27</f>
        <v>5760</v>
      </c>
      <c r="D80" s="56">
        <f>IF(AND(Assumptions!$J$11="Yes",Assumptions!$J$12=Lists!$AB$4), C80, 0)</f>
        <v>5760</v>
      </c>
      <c r="E80" s="56">
        <f>D80/Assumptions!$J$75</f>
        <v>1152</v>
      </c>
      <c r="F80" t="s">
        <v>572</v>
      </c>
    </row>
    <row r="81" spans="1:6" x14ac:dyDescent="0.3">
      <c r="A81" s="68"/>
      <c r="B81" s="149" t="s">
        <v>353</v>
      </c>
      <c r="C81" s="56">
        <f>'Unit Costs'!$G$32*ROUNDUP($B$9/Assumptions!$J$74,0)*Assumptions!$J$80*Assumptions!$J$81/($B$9)</f>
        <v>663.73714285714289</v>
      </c>
      <c r="D81" s="56">
        <f>IF(AND(Assumptions!$J$11="Yes",Assumptions!$J$12=Lists!$AB$4), C81, 0)*Assumptions!$G$79</f>
        <v>0</v>
      </c>
      <c r="E81" s="56">
        <f>D81/Assumptions!$J$75</f>
        <v>0</v>
      </c>
      <c r="F81" t="s">
        <v>572</v>
      </c>
    </row>
    <row r="82" spans="1:6" x14ac:dyDescent="0.3">
      <c r="A82" s="68"/>
    </row>
    <row r="83" spans="1:6" x14ac:dyDescent="0.3">
      <c r="A83" s="68" t="s">
        <v>354</v>
      </c>
      <c r="B83" t="s">
        <v>575</v>
      </c>
      <c r="C83" s="56">
        <f>'Unit Costs'!$G$29</f>
        <v>516251</v>
      </c>
      <c r="D83" s="56">
        <f>IF(AND(Assumptions!$J$11="Yes",Assumptions!$J$12=Lists!$AB$4), C83, 0)</f>
        <v>516251</v>
      </c>
      <c r="E83" s="56">
        <f t="shared" ref="E83:E88" si="2">D83</f>
        <v>516251</v>
      </c>
      <c r="F83" t="s">
        <v>572</v>
      </c>
    </row>
    <row r="84" spans="1:6" x14ac:dyDescent="0.3">
      <c r="A84" s="68"/>
      <c r="B84" t="s">
        <v>356</v>
      </c>
      <c r="C84" s="56">
        <f>'Unit Costs'!$G$30*$B$11/$B$10</f>
        <v>68833.444444444438</v>
      </c>
      <c r="D84" s="56">
        <f>IF(AND(Assumptions!$J$11="Yes",Assumptions!$J$12=Lists!$AB$4), C84, 0)</f>
        <v>68833.444444444438</v>
      </c>
      <c r="E84" s="56">
        <f t="shared" si="2"/>
        <v>68833.444444444438</v>
      </c>
      <c r="F84" t="s">
        <v>572</v>
      </c>
    </row>
    <row r="85" spans="1:6" x14ac:dyDescent="0.3">
      <c r="A85" s="68"/>
      <c r="B85" t="s">
        <v>337</v>
      </c>
      <c r="C85" s="56">
        <f>'Unit Costs'!$G$40</f>
        <v>4337</v>
      </c>
      <c r="D85" s="56">
        <f>IF(AND(Assumptions!$J$11="Yes",Assumptions!$J$12=Lists!$AB$4), C85, 0)</f>
        <v>4337</v>
      </c>
      <c r="E85" s="56">
        <f t="shared" si="2"/>
        <v>4337</v>
      </c>
      <c r="F85" t="s">
        <v>572</v>
      </c>
    </row>
    <row r="86" spans="1:6" x14ac:dyDescent="0.3">
      <c r="A86" s="68"/>
      <c r="B86" t="s">
        <v>357</v>
      </c>
      <c r="C86" s="56">
        <f>4*(Assumptions!$J$70*'Unit Costs'!$G$26)</f>
        <v>5160</v>
      </c>
      <c r="D86" s="56">
        <f>IF(AND(Assumptions!$J$11="Yes",Assumptions!$J$12=Lists!$AB$4), C86, 0)</f>
        <v>5160</v>
      </c>
      <c r="E86" s="56">
        <f t="shared" si="2"/>
        <v>5160</v>
      </c>
      <c r="F86" t="s">
        <v>572</v>
      </c>
    </row>
    <row r="87" spans="1:6" x14ac:dyDescent="0.3">
      <c r="A87" s="68"/>
      <c r="B87" t="s">
        <v>358</v>
      </c>
      <c r="C87" s="56">
        <f>4*((Assumptions!$J$70-1)*'Unit Costs'!$G$27)</f>
        <v>5760</v>
      </c>
      <c r="D87" s="56">
        <f>IF(AND(Assumptions!$J$11="Yes",Assumptions!$J$12=Lists!$AB$4), C87, 0)</f>
        <v>5760</v>
      </c>
      <c r="E87" s="56">
        <f t="shared" si="2"/>
        <v>5760</v>
      </c>
      <c r="F87" t="s">
        <v>572</v>
      </c>
    </row>
    <row r="88" spans="1:6" x14ac:dyDescent="0.3">
      <c r="A88" s="68"/>
      <c r="B88" s="149" t="s">
        <v>359</v>
      </c>
      <c r="C88" s="56">
        <f>'Unit Costs'!$G$32*ROUNDUP($B$9/Assumptions!$J$74,0)*Assumptions!$J$82*Assumptions!$J$83/($B$9)</f>
        <v>995.60571428571427</v>
      </c>
      <c r="D88" s="56">
        <f>IF(AND(Assumptions!$J$11="Yes",Assumptions!$J$12=Lists!$AB$4), C88, 0)*Assumptions!$G$79</f>
        <v>0</v>
      </c>
      <c r="E88" s="56">
        <f t="shared" si="2"/>
        <v>0</v>
      </c>
      <c r="F88" t="s">
        <v>572</v>
      </c>
    </row>
    <row r="89" spans="1:6" x14ac:dyDescent="0.3">
      <c r="A89" s="68"/>
    </row>
    <row r="90" spans="1:6" x14ac:dyDescent="0.3">
      <c r="A90" s="68" t="s">
        <v>360</v>
      </c>
      <c r="B90" s="63" t="s">
        <v>361</v>
      </c>
      <c r="C90" s="64">
        <f>'Unit Costs'!$G$41</f>
        <v>69694</v>
      </c>
      <c r="D90" s="56">
        <f>IF(AND(Assumptions!$J$11="Yes",Assumptions!$J$12=Lists!$AB$4), C90, 0)</f>
        <v>69694</v>
      </c>
      <c r="E90" s="64">
        <f>D90</f>
        <v>69694</v>
      </c>
      <c r="F90" t="s">
        <v>572</v>
      </c>
    </row>
    <row r="91" spans="1:6" x14ac:dyDescent="0.3">
      <c r="A91" s="68"/>
      <c r="B91" s="63" t="s">
        <v>557</v>
      </c>
      <c r="C91" s="64">
        <f>'Unit Costs'!$G$42</f>
        <v>30975</v>
      </c>
      <c r="D91" s="56">
        <f>IF(AND(Assumptions!$J$11="Yes",Assumptions!$J$12=Lists!$AB$4), C91, 0)</f>
        <v>30975</v>
      </c>
      <c r="E91" s="64">
        <f>D91</f>
        <v>30975</v>
      </c>
      <c r="F91" t="s">
        <v>572</v>
      </c>
    </row>
    <row r="92" spans="1:6" x14ac:dyDescent="0.3">
      <c r="A92" s="68"/>
      <c r="D92" s="56"/>
    </row>
    <row r="93" spans="1:6" x14ac:dyDescent="0.3">
      <c r="A93" s="68"/>
      <c r="D93" s="56"/>
    </row>
    <row r="94" spans="1:6" x14ac:dyDescent="0.3">
      <c r="A94" s="68" t="s">
        <v>362</v>
      </c>
      <c r="B94" t="s">
        <v>363</v>
      </c>
      <c r="C94" s="56">
        <f>(('Unit Costs'!$G$35+(Assumptions!$J$80-2)*'Unit Costs'!$G$36)*Assumptions!$J$81)*$B$9/$B$10</f>
        <v>44061.111111111109</v>
      </c>
      <c r="D94" s="56">
        <f>IF(AND(Assumptions!$J$11="Yes",Assumptions!$J$12=Lists!$AB$4),C94,0)</f>
        <v>44061.111111111109</v>
      </c>
      <c r="E94" s="56">
        <f>D94</f>
        <v>44061.111111111109</v>
      </c>
      <c r="F94" t="s">
        <v>572</v>
      </c>
    </row>
    <row r="95" spans="1:6" x14ac:dyDescent="0.3">
      <c r="A95" s="68"/>
      <c r="B95" t="s">
        <v>364</v>
      </c>
      <c r="C95" s="56">
        <f>(('Unit Costs'!$G$35+(Assumptions!$J$82-2)*'Unit Costs'!$G$36)*Assumptions!$J$83)*$B$9/$B$10</f>
        <v>24091.666666666668</v>
      </c>
      <c r="D95" s="56">
        <f>IF(AND(Assumptions!$J$11="Yes",Assumptions!$J$12=Lists!$AB$4),C95,0)</f>
        <v>24091.666666666668</v>
      </c>
      <c r="E95" s="56">
        <f>D95</f>
        <v>24091.666666666668</v>
      </c>
      <c r="F95" t="s">
        <v>572</v>
      </c>
    </row>
    <row r="96" spans="1:6" x14ac:dyDescent="0.3">
      <c r="A96" s="68"/>
      <c r="C96" s="56"/>
      <c r="D96" s="56"/>
      <c r="E96" s="56"/>
    </row>
    <row r="98" spans="1:9" ht="18" x14ac:dyDescent="0.35">
      <c r="A98" s="58" t="s">
        <v>365</v>
      </c>
      <c r="B98" s="58"/>
      <c r="C98" s="58"/>
      <c r="D98" s="58"/>
      <c r="E98" s="58"/>
      <c r="F98" s="58"/>
      <c r="G98" s="58"/>
      <c r="H98" s="58"/>
      <c r="I98" s="58"/>
    </row>
    <row r="99" spans="1:9" x14ac:dyDescent="0.3">
      <c r="A99" s="13" t="s">
        <v>14</v>
      </c>
      <c r="E99" s="56">
        <f>SUM(E15:$E$31)</f>
        <v>115824.33333333333</v>
      </c>
      <c r="F99" t="s">
        <v>299</v>
      </c>
    </row>
    <row r="100" spans="1:9" x14ac:dyDescent="0.3">
      <c r="E100" s="56">
        <f>E99/$B$6</f>
        <v>110.30888888888889</v>
      </c>
      <c r="F100" t="s">
        <v>366</v>
      </c>
    </row>
    <row r="101" spans="1:9" x14ac:dyDescent="0.3">
      <c r="E101" s="74">
        <f>E99/$B$3</f>
        <v>110.30888888888889</v>
      </c>
      <c r="F101" s="75" t="s">
        <v>311</v>
      </c>
    </row>
    <row r="103" spans="1:9" x14ac:dyDescent="0.3">
      <c r="A103" s="13" t="s">
        <v>15</v>
      </c>
      <c r="E103" s="74">
        <f>SUM($E$34:$E$43)</f>
        <v>1631</v>
      </c>
      <c r="F103" s="75" t="s">
        <v>311</v>
      </c>
    </row>
    <row r="104" spans="1:9" x14ac:dyDescent="0.3">
      <c r="E104" s="56"/>
    </row>
    <row r="105" spans="1:9" x14ac:dyDescent="0.3">
      <c r="A105" s="13" t="s">
        <v>16</v>
      </c>
      <c r="E105" s="74">
        <f>SUM($E$46:$E$51)</f>
        <v>11091.24</v>
      </c>
      <c r="F105" s="75" t="s">
        <v>311</v>
      </c>
    </row>
    <row r="107" spans="1:9" x14ac:dyDescent="0.3">
      <c r="A107" s="13" t="s">
        <v>17</v>
      </c>
      <c r="E107" s="56">
        <f>SUM($E$55:$E$72)</f>
        <v>0</v>
      </c>
      <c r="F107" t="s">
        <v>366</v>
      </c>
    </row>
    <row r="108" spans="1:9" x14ac:dyDescent="0.3">
      <c r="E108" s="74">
        <f>E107*$B$6/$B$3</f>
        <v>0</v>
      </c>
      <c r="F108" s="75" t="s">
        <v>311</v>
      </c>
    </row>
    <row r="109" spans="1:9" x14ac:dyDescent="0.3">
      <c r="E109" s="56"/>
    </row>
    <row r="110" spans="1:9" x14ac:dyDescent="0.3">
      <c r="A110" s="13" t="s">
        <v>18</v>
      </c>
      <c r="E110" s="56">
        <f>SUM($E$76:$E$96)</f>
        <v>792642.84622222208</v>
      </c>
      <c r="F110" t="s">
        <v>367</v>
      </c>
    </row>
    <row r="111" spans="1:9" x14ac:dyDescent="0.3">
      <c r="E111" s="74">
        <f>E110*$B$10/$B$3</f>
        <v>6794.0815390476173</v>
      </c>
      <c r="F111" s="75" t="s">
        <v>311</v>
      </c>
    </row>
    <row r="112" spans="1:9" x14ac:dyDescent="0.3">
      <c r="E112" s="56"/>
    </row>
    <row r="113" spans="1:8" x14ac:dyDescent="0.3">
      <c r="A113" s="13" t="s">
        <v>19</v>
      </c>
      <c r="E113" s="74">
        <f>SUM(E101,E103,E105,E108)*Assumptions!$J$22</f>
        <v>641.62744444444445</v>
      </c>
      <c r="F113" s="75" t="s">
        <v>311</v>
      </c>
    </row>
    <row r="115" spans="1:8" x14ac:dyDescent="0.3">
      <c r="A115" s="70" t="s">
        <v>368</v>
      </c>
      <c r="B115" s="55"/>
      <c r="C115" s="55"/>
      <c r="D115" s="55"/>
      <c r="E115" s="71">
        <f>SUM($E$101,$E$103,$E$105,$E$108,$E$111,$E$113)</f>
        <v>20268.257872380953</v>
      </c>
      <c r="F115" s="70" t="s">
        <v>311</v>
      </c>
      <c r="G115" s="56"/>
    </row>
    <row r="116" spans="1:8" x14ac:dyDescent="0.3">
      <c r="A116" s="69"/>
      <c r="B116" s="69"/>
      <c r="C116" s="69"/>
      <c r="D116" s="69"/>
      <c r="E116" s="72">
        <f>E115/Assumptions!$J$20</f>
        <v>579.09308206802723</v>
      </c>
      <c r="F116" s="73" t="s">
        <v>369</v>
      </c>
      <c r="G116" s="56"/>
    </row>
    <row r="117" spans="1:8" x14ac:dyDescent="0.3">
      <c r="A117" s="70" t="s">
        <v>370</v>
      </c>
      <c r="B117" s="55"/>
      <c r="C117" s="55"/>
      <c r="D117" s="55"/>
      <c r="E117" s="80">
        <f>E115/Assumptions!$J$23</f>
        <v>1095.5815066151868</v>
      </c>
      <c r="F117" s="70" t="s">
        <v>311</v>
      </c>
      <c r="G117" s="56"/>
      <c r="H117" s="79"/>
    </row>
    <row r="118" spans="1:8" x14ac:dyDescent="0.3">
      <c r="A118" s="69"/>
      <c r="B118" s="69"/>
      <c r="C118" s="69"/>
      <c r="D118" s="69"/>
      <c r="E118" s="81">
        <f>E117/Assumptions!$J$20</f>
        <v>31.302328760433909</v>
      </c>
      <c r="F118" s="73" t="s">
        <v>369</v>
      </c>
      <c r="G118" s="56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4F0B4-CFBE-4C38-851F-ECDC36D4B3BF}">
  <sheetPr>
    <tabColor rgb="FF00B050"/>
  </sheetPr>
  <dimension ref="A1:I118"/>
  <sheetViews>
    <sheetView topLeftCell="B35" zoomScale="88" workbookViewId="0">
      <selection activeCell="E43" sqref="E43"/>
    </sheetView>
  </sheetViews>
  <sheetFormatPr defaultRowHeight="14.4" x14ac:dyDescent="0.3"/>
  <cols>
    <col min="1" max="1" width="47" customWidth="1"/>
    <col min="2" max="2" width="60.6640625" bestFit="1" customWidth="1"/>
    <col min="3" max="3" width="22.33203125" customWidth="1"/>
    <col min="4" max="4" width="28.6640625" customWidth="1"/>
    <col min="5" max="5" width="27.6640625" customWidth="1"/>
    <col min="6" max="6" width="38.6640625" customWidth="1"/>
    <col min="7" max="7" width="9.33203125" bestFit="1" customWidth="1"/>
    <col min="8" max="8" width="34" customWidth="1"/>
    <col min="10" max="10" width="28.88671875" customWidth="1"/>
  </cols>
  <sheetData>
    <row r="1" spans="1:9" ht="18" x14ac:dyDescent="0.35">
      <c r="A1" s="58" t="s">
        <v>282</v>
      </c>
      <c r="B1" s="58"/>
      <c r="C1" s="58"/>
      <c r="D1" s="58"/>
      <c r="E1" s="58"/>
      <c r="F1" s="58"/>
      <c r="G1" s="58"/>
      <c r="H1" s="58"/>
      <c r="I1" s="58"/>
    </row>
    <row r="2" spans="1:9" ht="13.5" customHeight="1" x14ac:dyDescent="0.3">
      <c r="A2" t="s">
        <v>283</v>
      </c>
      <c r="B2" s="59">
        <f>Assumptions!$K$14</f>
        <v>175</v>
      </c>
      <c r="C2" s="13"/>
      <c r="D2" s="13"/>
    </row>
    <row r="3" spans="1:9" ht="13.5" customHeight="1" x14ac:dyDescent="0.3">
      <c r="A3" t="s">
        <v>284</v>
      </c>
      <c r="B3" s="59">
        <f>Assumptions!$K$14*Assumptions!$K$16</f>
        <v>1050</v>
      </c>
      <c r="C3" s="13"/>
      <c r="D3" s="13"/>
    </row>
    <row r="4" spans="1:9" ht="13.5" customHeight="1" x14ac:dyDescent="0.3">
      <c r="A4" t="s">
        <v>285</v>
      </c>
      <c r="B4" s="59">
        <f>$B$3*Assumptions!$K$20</f>
        <v>36750</v>
      </c>
      <c r="C4" s="13"/>
      <c r="D4" s="13"/>
      <c r="E4" s="59"/>
    </row>
    <row r="5" spans="1:9" ht="6.75" customHeight="1" x14ac:dyDescent="0.3">
      <c r="B5" s="59"/>
      <c r="C5" s="13"/>
      <c r="D5" s="13"/>
      <c r="E5" s="59"/>
    </row>
    <row r="6" spans="1:9" ht="13.5" customHeight="1" x14ac:dyDescent="0.3">
      <c r="A6" t="s">
        <v>286</v>
      </c>
      <c r="B6" s="59">
        <f>B3/Assumptions!$K$17</f>
        <v>17.5</v>
      </c>
      <c r="C6" s="13"/>
      <c r="D6" s="13"/>
      <c r="E6" s="59"/>
    </row>
    <row r="7" spans="1:9" ht="13.5" customHeight="1" x14ac:dyDescent="0.3">
      <c r="A7" t="s">
        <v>287</v>
      </c>
      <c r="B7" s="59">
        <f>ROUNDUP(B6/Assumptions!$K$64,0)</f>
        <v>1</v>
      </c>
      <c r="C7" s="13"/>
      <c r="D7" s="13"/>
    </row>
    <row r="8" spans="1:9" ht="6.75" customHeight="1" x14ac:dyDescent="0.3">
      <c r="B8" s="59"/>
      <c r="C8" s="13"/>
      <c r="D8" s="13"/>
    </row>
    <row r="9" spans="1:9" ht="13.5" customHeight="1" x14ac:dyDescent="0.3">
      <c r="A9" t="s">
        <v>288</v>
      </c>
      <c r="B9" s="59">
        <f>$B$2</f>
        <v>175</v>
      </c>
      <c r="C9" s="13"/>
      <c r="D9" s="13"/>
    </row>
    <row r="10" spans="1:9" ht="13.5" customHeight="1" x14ac:dyDescent="0.3">
      <c r="A10" t="s">
        <v>289</v>
      </c>
      <c r="B10" s="59">
        <f>ROUND($B$9/Assumptions!$K$18,0)</f>
        <v>175</v>
      </c>
    </row>
    <row r="11" spans="1:9" ht="13.5" customHeight="1" x14ac:dyDescent="0.3">
      <c r="A11" t="s">
        <v>290</v>
      </c>
      <c r="B11" s="59">
        <f>ROUNDUP($B$10/Assumptions!$K$74,0)</f>
        <v>9</v>
      </c>
    </row>
    <row r="12" spans="1:9" ht="6.75" customHeight="1" x14ac:dyDescent="0.3">
      <c r="B12" s="59"/>
    </row>
    <row r="13" spans="1:9" ht="18" x14ac:dyDescent="0.35">
      <c r="A13" s="58" t="s">
        <v>291</v>
      </c>
      <c r="B13" s="58"/>
      <c r="C13" s="58"/>
      <c r="D13" s="58"/>
      <c r="E13" s="58"/>
      <c r="F13" s="58"/>
      <c r="G13" s="58"/>
      <c r="H13" s="58"/>
      <c r="I13" s="58"/>
    </row>
    <row r="14" spans="1:9" s="13" customFormat="1" x14ac:dyDescent="0.3">
      <c r="A14" s="13" t="s">
        <v>292</v>
      </c>
      <c r="B14" s="13" t="s">
        <v>293</v>
      </c>
      <c r="C14" s="13" t="s">
        <v>294</v>
      </c>
      <c r="D14" s="13" t="s">
        <v>295</v>
      </c>
      <c r="E14" s="13" t="s">
        <v>296</v>
      </c>
      <c r="F14" s="13" t="s">
        <v>297</v>
      </c>
    </row>
    <row r="15" spans="1:9" x14ac:dyDescent="0.3">
      <c r="B15" t="s">
        <v>298</v>
      </c>
      <c r="C15" s="56">
        <f>'Unit Costs'!$G$3*Assumptions!$K$27</f>
        <v>77440</v>
      </c>
      <c r="D15" s="56">
        <f>C15</f>
        <v>77440</v>
      </c>
      <c r="E15" s="56">
        <f>D15/Assumptions!$K$31</f>
        <v>6453.333333333333</v>
      </c>
      <c r="F15" t="s">
        <v>299</v>
      </c>
      <c r="H15" s="57"/>
    </row>
    <row r="16" spans="1:9" x14ac:dyDescent="0.3">
      <c r="B16" t="s">
        <v>300</v>
      </c>
      <c r="C16" s="56">
        <f>('Unit Costs'!$G$4+'Unit Costs'!$G$5)*Assumptions!$K$29*Assumptions!$K$28</f>
        <v>135510</v>
      </c>
      <c r="D16" s="56">
        <f>C16</f>
        <v>135510</v>
      </c>
      <c r="E16" s="56">
        <f>D16/Assumptions!$K$31</f>
        <v>11292.5</v>
      </c>
      <c r="F16" t="s">
        <v>299</v>
      </c>
    </row>
    <row r="17" spans="1:8" ht="15" customHeight="1" x14ac:dyDescent="0.3">
      <c r="B17" t="s">
        <v>569</v>
      </c>
      <c r="C17" s="56">
        <f>(('Unit Costs'!$G$6*Assumptions!$K$28)+('Unit Costs'!$G$7))*Assumptions!$K$30</f>
        <v>54408</v>
      </c>
      <c r="D17" s="56">
        <f>C17</f>
        <v>54408</v>
      </c>
      <c r="E17" s="56">
        <f>D17/Assumptions!$K$31</f>
        <v>4534</v>
      </c>
      <c r="F17" t="s">
        <v>299</v>
      </c>
    </row>
    <row r="18" spans="1:8" x14ac:dyDescent="0.3">
      <c r="B18" t="s">
        <v>302</v>
      </c>
      <c r="C18" s="56">
        <f>'Unit Costs'!$G$3*Assumptions!$K$38</f>
        <v>19360</v>
      </c>
      <c r="D18" s="56">
        <f>IF(Assumptions!$K$10="Home Language",0,$C18)</f>
        <v>0</v>
      </c>
      <c r="E18" s="56">
        <f>D18/Assumptions!$K$42</f>
        <v>0</v>
      </c>
      <c r="F18" t="s">
        <v>299</v>
      </c>
    </row>
    <row r="19" spans="1:8" x14ac:dyDescent="0.3">
      <c r="B19" t="s">
        <v>303</v>
      </c>
      <c r="C19" s="56">
        <f>('Unit Costs'!$G$4+'Unit Costs'!$G$5)*Assumptions!$K$39*Assumptions!$K$40</f>
        <v>67755</v>
      </c>
      <c r="D19" s="56">
        <f>IF(Assumptions!$K$10="Home Language",0,$C19)</f>
        <v>0</v>
      </c>
      <c r="E19" s="56">
        <f>D19/Assumptions!$K$42</f>
        <v>0</v>
      </c>
      <c r="F19" t="s">
        <v>299</v>
      </c>
    </row>
    <row r="20" spans="1:8" x14ac:dyDescent="0.3">
      <c r="B20" t="s">
        <v>558</v>
      </c>
      <c r="C20" s="56">
        <f>(('Unit Costs'!$G$6*Assumptions!$K$39)+('Unit Costs'!$G$7))*Assumptions!$K$41</f>
        <v>45272</v>
      </c>
      <c r="D20" s="56">
        <f>IF(Assumptions!$K$10="Home Language",0,$C20)</f>
        <v>0</v>
      </c>
      <c r="E20" s="56">
        <f>D20/Assumptions!$K$42</f>
        <v>0</v>
      </c>
      <c r="F20" t="s">
        <v>299</v>
      </c>
    </row>
    <row r="21" spans="1:8" x14ac:dyDescent="0.3">
      <c r="C21" s="56"/>
      <c r="D21" s="56"/>
      <c r="E21" s="56"/>
    </row>
    <row r="22" spans="1:8" x14ac:dyDescent="0.3">
      <c r="A22" s="13" t="s">
        <v>304</v>
      </c>
      <c r="C22" s="56"/>
      <c r="D22" s="56"/>
      <c r="E22" s="56"/>
      <c r="H22" s="57"/>
    </row>
    <row r="23" spans="1:8" x14ac:dyDescent="0.3">
      <c r="A23" s="13"/>
      <c r="B23" t="s">
        <v>305</v>
      </c>
      <c r="C23" s="56">
        <f>'Unit Costs'!$G$3*Assumptions!$K$32</f>
        <v>19360</v>
      </c>
      <c r="D23" s="56">
        <f>C23</f>
        <v>19360</v>
      </c>
      <c r="E23" s="56">
        <f>D23*Assumptions!$K$36/Assumptions!$K$31</f>
        <v>4840</v>
      </c>
      <c r="F23" t="s">
        <v>299</v>
      </c>
      <c r="H23" s="57"/>
    </row>
    <row r="24" spans="1:8" x14ac:dyDescent="0.3">
      <c r="B24" t="s">
        <v>300</v>
      </c>
      <c r="C24" s="56">
        <f>('Unit Costs'!$G$4+'Unit Costs'!$G$5)*Assumptions!$K$34*Assumptions!$K$33</f>
        <v>135510</v>
      </c>
      <c r="D24" s="56">
        <f>C24</f>
        <v>135510</v>
      </c>
      <c r="E24" s="56">
        <f>D24*Assumptions!$K$36/Assumptions!$K$31</f>
        <v>33877.5</v>
      </c>
      <c r="F24" t="s">
        <v>299</v>
      </c>
    </row>
    <row r="25" spans="1:8" ht="15" customHeight="1" x14ac:dyDescent="0.3">
      <c r="B25" t="s">
        <v>569</v>
      </c>
      <c r="C25" s="56">
        <f>(('Unit Costs'!$G$6*Assumptions!$K$33)+('Unit Costs'!$G$7))*Assumptions!$K$35</f>
        <v>54408</v>
      </c>
      <c r="D25" s="56">
        <f>C25</f>
        <v>54408</v>
      </c>
      <c r="E25" s="56">
        <f>D25*Assumptions!$K$36/Assumptions!$K$31</f>
        <v>13602</v>
      </c>
      <c r="F25" t="s">
        <v>299</v>
      </c>
    </row>
    <row r="26" spans="1:8" x14ac:dyDescent="0.3">
      <c r="B26" t="s">
        <v>306</v>
      </c>
      <c r="C26" s="56">
        <f>'Unit Costs'!$G$3*Assumptions!$K$43</f>
        <v>7744</v>
      </c>
      <c r="D26" s="56">
        <f>IF(Assumptions!$K$10="Home Language",0,$C26)</f>
        <v>0</v>
      </c>
      <c r="E26" s="56">
        <f>D26*Assumptions!$K$47/Assumptions!$K$42</f>
        <v>0</v>
      </c>
      <c r="F26" t="s">
        <v>299</v>
      </c>
    </row>
    <row r="27" spans="1:8" x14ac:dyDescent="0.3">
      <c r="B27" t="s">
        <v>303</v>
      </c>
      <c r="C27" s="56">
        <f>('Unit Costs'!$G$4+'Unit Costs'!$G$5)*Assumptions!$K$44*Assumptions!$K$45</f>
        <v>67755</v>
      </c>
      <c r="D27" s="56">
        <f>IF(Assumptions!$K$10="Home Language",0,$C27)</f>
        <v>0</v>
      </c>
      <c r="E27" s="56">
        <f>D27*Assumptions!$K$47/Assumptions!$K$42</f>
        <v>0</v>
      </c>
      <c r="F27" t="s">
        <v>299</v>
      </c>
    </row>
    <row r="28" spans="1:8" x14ac:dyDescent="0.3">
      <c r="B28" t="s">
        <v>558</v>
      </c>
      <c r="C28" s="56">
        <f>(('Unit Costs'!$G$6*Assumptions!$K$44)+('Unit Costs'!$G$7))*Assumptions!$K$46</f>
        <v>45272</v>
      </c>
      <c r="D28" s="56">
        <f>IF(Assumptions!$K$10="Home Language",0,$C28)</f>
        <v>0</v>
      </c>
      <c r="E28" s="56">
        <f>D28*Assumptions!$K$47/Assumptions!$K$42</f>
        <v>0</v>
      </c>
      <c r="F28" t="s">
        <v>299</v>
      </c>
    </row>
    <row r="29" spans="1:8" x14ac:dyDescent="0.3">
      <c r="C29" s="56"/>
      <c r="D29" s="56"/>
      <c r="E29" s="56"/>
    </row>
    <row r="30" spans="1:8" x14ac:dyDescent="0.3">
      <c r="A30" s="13" t="s">
        <v>307</v>
      </c>
      <c r="C30" s="56"/>
      <c r="D30" s="56"/>
      <c r="E30" s="56"/>
    </row>
    <row r="31" spans="1:8" x14ac:dyDescent="0.3">
      <c r="A31" s="13"/>
      <c r="B31" t="s">
        <v>308</v>
      </c>
      <c r="C31" s="56">
        <f>'Unit Costs'!$G$10</f>
        <v>150000</v>
      </c>
      <c r="D31" s="56">
        <f>IF(Assumptions!$K$13="Yes",$C31,0)</f>
        <v>150000</v>
      </c>
      <c r="E31" s="56">
        <f>D31</f>
        <v>150000</v>
      </c>
      <c r="F31" t="s">
        <v>299</v>
      </c>
    </row>
    <row r="33" spans="1:6" x14ac:dyDescent="0.3">
      <c r="A33" s="13" t="s">
        <v>309</v>
      </c>
      <c r="C33" s="56"/>
      <c r="D33" s="56"/>
      <c r="E33" s="56"/>
    </row>
    <row r="34" spans="1:6" x14ac:dyDescent="0.3">
      <c r="A34" s="13"/>
      <c r="B34" t="s">
        <v>310</v>
      </c>
      <c r="C34" s="56">
        <f>'Unit Costs'!$G$13</f>
        <v>1505</v>
      </c>
      <c r="D34" s="56">
        <f>C34</f>
        <v>1505</v>
      </c>
      <c r="E34" s="56">
        <f>D34/Assumptions!$K$50</f>
        <v>752.5</v>
      </c>
      <c r="F34" t="s">
        <v>311</v>
      </c>
    </row>
    <row r="35" spans="1:6" x14ac:dyDescent="0.3">
      <c r="B35" t="s">
        <v>312</v>
      </c>
      <c r="C35" s="56">
        <f>'Unit Costs'!$G$16</f>
        <v>811</v>
      </c>
      <c r="D35" s="56">
        <f>IF(Assumptions!$K$10="Home Language",0,$C35)</f>
        <v>0</v>
      </c>
      <c r="E35" s="56">
        <f>D35/Assumptions!$K$50</f>
        <v>0</v>
      </c>
      <c r="F35" t="s">
        <v>311</v>
      </c>
    </row>
    <row r="36" spans="1:6" x14ac:dyDescent="0.3">
      <c r="C36" s="56"/>
      <c r="D36" s="56"/>
      <c r="E36" s="56"/>
    </row>
    <row r="37" spans="1:6" x14ac:dyDescent="0.3">
      <c r="A37" s="13" t="s">
        <v>313</v>
      </c>
      <c r="C37" s="56"/>
      <c r="D37" s="56"/>
      <c r="E37" s="56"/>
    </row>
    <row r="38" spans="1:6" x14ac:dyDescent="0.3">
      <c r="A38" s="13"/>
      <c r="B38" t="s">
        <v>314</v>
      </c>
      <c r="C38" s="56">
        <f>'Unit Costs'!$G$12</f>
        <v>615</v>
      </c>
      <c r="D38" s="56">
        <f>IF(Assumptions!$K$13="Yes",0,$C38)</f>
        <v>0</v>
      </c>
      <c r="E38" s="56">
        <f>D38/Assumptions!$K$50</f>
        <v>0</v>
      </c>
      <c r="F38" t="s">
        <v>311</v>
      </c>
    </row>
    <row r="39" spans="1:6" x14ac:dyDescent="0.3">
      <c r="B39" t="s">
        <v>315</v>
      </c>
      <c r="C39" s="56">
        <f>'Unit Costs'!$G$15</f>
        <v>331</v>
      </c>
      <c r="D39" s="56">
        <f>IF(OR(Assumptions!$K$13="Yes", Assumptions!$K$10="Home Language"),0,$C39)</f>
        <v>0</v>
      </c>
      <c r="E39" s="56">
        <f>D39/Assumptions!$K$50</f>
        <v>0</v>
      </c>
      <c r="F39" t="s">
        <v>311</v>
      </c>
    </row>
    <row r="40" spans="1:6" x14ac:dyDescent="0.3">
      <c r="C40" s="56"/>
      <c r="D40" s="56"/>
      <c r="E40" s="56"/>
    </row>
    <row r="41" spans="1:6" x14ac:dyDescent="0.3">
      <c r="A41" s="13" t="s">
        <v>316</v>
      </c>
      <c r="C41" s="56"/>
      <c r="D41" s="56"/>
      <c r="E41" s="56"/>
    </row>
    <row r="42" spans="1:6" x14ac:dyDescent="0.3">
      <c r="A42" s="13"/>
      <c r="B42" t="s">
        <v>199</v>
      </c>
      <c r="C42" s="56">
        <f>'Unit Costs'!$G$18</f>
        <v>2839</v>
      </c>
      <c r="D42" s="56">
        <f>IF(Assumptions!$K$13="Yes",$C42,0)</f>
        <v>2839</v>
      </c>
      <c r="E42" s="56">
        <f>D42/Assumptions!$K$50</f>
        <v>1419.5</v>
      </c>
      <c r="F42" t="s">
        <v>311</v>
      </c>
    </row>
    <row r="43" spans="1:6" x14ac:dyDescent="0.3">
      <c r="B43" t="s">
        <v>203</v>
      </c>
      <c r="C43" s="56">
        <f>'Unit Costs'!$G$19</f>
        <v>900</v>
      </c>
      <c r="D43" s="56">
        <f>IF(Assumptions!$K$13="Yes",$C43,0)</f>
        <v>900</v>
      </c>
      <c r="E43" s="56">
        <f>D43</f>
        <v>900</v>
      </c>
      <c r="F43" t="s">
        <v>311</v>
      </c>
    </row>
    <row r="45" spans="1:6" x14ac:dyDescent="0.3">
      <c r="A45" s="13" t="s">
        <v>16</v>
      </c>
      <c r="C45" s="56"/>
      <c r="D45" s="56"/>
      <c r="E45" s="56"/>
    </row>
    <row r="46" spans="1:6" x14ac:dyDescent="0.3">
      <c r="A46" s="13"/>
      <c r="B46" t="s">
        <v>317</v>
      </c>
      <c r="C46" s="56">
        <f>'Unit Costs'!$G$37*(Assumptions!$K$55*Assumptions!$K$56)</f>
        <v>826</v>
      </c>
      <c r="D46" s="56">
        <f t="shared" ref="D46:E50" si="0">C46</f>
        <v>826</v>
      </c>
      <c r="E46" s="56">
        <f t="shared" si="0"/>
        <v>826</v>
      </c>
      <c r="F46" t="s">
        <v>311</v>
      </c>
    </row>
    <row r="47" spans="1:6" x14ac:dyDescent="0.3">
      <c r="A47" s="13"/>
      <c r="B47" t="s">
        <v>318</v>
      </c>
      <c r="C47" s="56">
        <f>(Assumptions!$K$55-1)*Assumptions!$K$56*'Unit Costs'!$G$34</f>
        <v>1440</v>
      </c>
      <c r="D47" s="56">
        <f>C47</f>
        <v>1440</v>
      </c>
      <c r="E47" s="56">
        <f>D47</f>
        <v>1440</v>
      </c>
      <c r="F47" t="s">
        <v>311</v>
      </c>
    </row>
    <row r="48" spans="1:6" x14ac:dyDescent="0.3">
      <c r="B48" t="s">
        <v>319</v>
      </c>
      <c r="C48" s="56">
        <f>'Unit Costs'!$G$37*(Assumptions!$K$57*Assumptions!$K$58)</f>
        <v>1239</v>
      </c>
      <c r="D48" s="56">
        <f t="shared" si="0"/>
        <v>1239</v>
      </c>
      <c r="E48" s="56">
        <f t="shared" si="0"/>
        <v>1239</v>
      </c>
      <c r="F48" t="s">
        <v>311</v>
      </c>
    </row>
    <row r="49" spans="1:9" x14ac:dyDescent="0.3">
      <c r="B49" t="s">
        <v>320</v>
      </c>
      <c r="C49" s="56">
        <f>(Assumptions!$K$57-1)*Assumptions!$K$58*'Unit Costs'!$G$34</f>
        <v>0</v>
      </c>
      <c r="D49" s="56">
        <f>C49</f>
        <v>0</v>
      </c>
      <c r="E49" s="56">
        <f>D49</f>
        <v>0</v>
      </c>
      <c r="F49" t="s">
        <v>311</v>
      </c>
    </row>
    <row r="50" spans="1:9" x14ac:dyDescent="0.3">
      <c r="B50" t="s">
        <v>321</v>
      </c>
      <c r="C50" s="56">
        <f>'Unit Costs'!$G$38*Assumptions!$K$59*Assumptions!$K$60</f>
        <v>0</v>
      </c>
      <c r="D50" s="56">
        <f t="shared" si="0"/>
        <v>0</v>
      </c>
      <c r="E50" s="56">
        <f t="shared" si="0"/>
        <v>0</v>
      </c>
      <c r="F50" t="s">
        <v>311</v>
      </c>
    </row>
    <row r="51" spans="1:9" x14ac:dyDescent="0.3">
      <c r="B51" s="149" t="s">
        <v>322</v>
      </c>
      <c r="C51" s="56">
        <f>'Unit Costs'!$G$31*ROUNDUP($B$3/Assumptions!$K$53,0)*(Assumptions!$K$55*Assumptions!$K$56+Assumptions!$K$57*Assumptions!$K$58)/$B$3</f>
        <v>387.2</v>
      </c>
      <c r="D51" s="56">
        <f>IF(Assumptions!$K$11 = "Yes", C51*Assumptions!$K$54, C51)</f>
        <v>387.2</v>
      </c>
      <c r="E51" s="56">
        <f>D51</f>
        <v>387.2</v>
      </c>
      <c r="F51" t="s">
        <v>311</v>
      </c>
      <c r="G51" t="s">
        <v>323</v>
      </c>
    </row>
    <row r="53" spans="1:9" ht="18" x14ac:dyDescent="0.35">
      <c r="A53" s="58" t="s">
        <v>324</v>
      </c>
      <c r="B53" s="58"/>
      <c r="C53" s="58"/>
      <c r="D53" s="58"/>
      <c r="E53" s="58"/>
      <c r="F53" s="58"/>
      <c r="G53" s="58"/>
      <c r="H53" s="58"/>
      <c r="I53" s="58"/>
    </row>
    <row r="54" spans="1:9" ht="15.6" x14ac:dyDescent="0.3">
      <c r="A54" s="13" t="s">
        <v>325</v>
      </c>
      <c r="B54" s="13"/>
      <c r="C54" s="13"/>
      <c r="D54" s="13"/>
      <c r="E54" s="13"/>
      <c r="F54" s="13"/>
      <c r="H54" s="60"/>
    </row>
    <row r="55" spans="1:9" x14ac:dyDescent="0.3">
      <c r="A55" s="68" t="s">
        <v>326</v>
      </c>
      <c r="B55" t="s">
        <v>327</v>
      </c>
      <c r="C55" s="56">
        <f>'Unit Costs'!$G$21*'Unit Costs'!$E$21</f>
        <v>61950.119999999995</v>
      </c>
      <c r="D55" s="56">
        <f>IF(AND(Assumptions!$K$11="Yes",OR(Assumptions!$K$12=Lists!$AB$2,Assumptions!$K$12=Lists!$AB$3)), C55, 0)</f>
        <v>0</v>
      </c>
      <c r="E55" s="56">
        <f>D55/Assumptions!$K$66</f>
        <v>0</v>
      </c>
      <c r="F55" t="s">
        <v>366</v>
      </c>
      <c r="H55" s="59"/>
    </row>
    <row r="56" spans="1:9" x14ac:dyDescent="0.3">
      <c r="A56" s="68"/>
      <c r="B56" t="s">
        <v>329</v>
      </c>
      <c r="C56" s="56">
        <f>'Unit Costs'!$G$44</f>
        <v>7744</v>
      </c>
      <c r="D56" s="56">
        <f>IF(AND(Assumptions!$K$11="Yes",OR(Assumptions!$K$12=Lists!$AB$2,Assumptions!$K$12=Lists!$AB$3)), C56, 0)</f>
        <v>0</v>
      </c>
      <c r="E56" s="56">
        <f>D56/Assumptions!$K$67</f>
        <v>0</v>
      </c>
      <c r="F56" t="s">
        <v>366</v>
      </c>
    </row>
    <row r="57" spans="1:9" x14ac:dyDescent="0.3">
      <c r="A57" s="68"/>
      <c r="B57" t="s">
        <v>330</v>
      </c>
      <c r="C57" s="56">
        <f>'Unit Costs'!$G$24</f>
        <v>38719</v>
      </c>
      <c r="D57" s="56">
        <f>IF(AND(Assumptions!$K$11="Yes",OR(Assumptions!$K$12=Lists!$AB$2,Assumptions!$K$12=Lists!$AB$3)), C57, 0)</f>
        <v>0</v>
      </c>
      <c r="E57" s="56">
        <f>D57/Assumptions!$K$66</f>
        <v>0</v>
      </c>
      <c r="F57" t="s">
        <v>366</v>
      </c>
    </row>
    <row r="58" spans="1:9" x14ac:dyDescent="0.3">
      <c r="A58" s="68"/>
      <c r="B58" t="s">
        <v>331</v>
      </c>
      <c r="C58" s="56">
        <f>Assumptions!$K$69*'Unit Costs'!$G$26</f>
        <v>3225</v>
      </c>
      <c r="D58" s="56">
        <f>IF(AND(Assumptions!$K$11="Yes",OR(Assumptions!$K$12=Lists!$AB$2,Assumptions!$K$12=Lists!$AB$3)), C58, 0)</f>
        <v>0</v>
      </c>
      <c r="E58" s="56">
        <f>D58/Assumptions!$K$66</f>
        <v>0</v>
      </c>
      <c r="F58" t="s">
        <v>366</v>
      </c>
    </row>
    <row r="59" spans="1:9" x14ac:dyDescent="0.3">
      <c r="A59" s="68"/>
      <c r="B59" t="s">
        <v>332</v>
      </c>
      <c r="C59" s="56">
        <f>(Assumptions!$K$69-1)*'Unit Costs'!$G$27</f>
        <v>5760</v>
      </c>
      <c r="D59" s="56">
        <f>IF(AND(Assumptions!$K$11="Yes",OR(Assumptions!$K$12=Lists!$AB$2,Assumptions!$K$12=Lists!$AB$3)), C59, 0)</f>
        <v>0</v>
      </c>
      <c r="E59" s="56">
        <f>D59/Assumptions!$K$66</f>
        <v>0</v>
      </c>
      <c r="F59" t="s">
        <v>366</v>
      </c>
    </row>
    <row r="60" spans="1:9" x14ac:dyDescent="0.3">
      <c r="A60" s="68"/>
      <c r="B60" s="149" t="s">
        <v>555</v>
      </c>
      <c r="C60" s="56">
        <f>'Unit Costs'!$G$32*ROUNDUP($B$6/Assumptions!$K$64,0)*Assumptions!C$69/($B$6)</f>
        <v>1843.7142857142858</v>
      </c>
      <c r="D60" s="56">
        <f>IF(AND(Assumptions!$K$11="Yes",OR(Assumptions!$K$12=Lists!$AB$2,Assumptions!$K$12=Lists!$AB$3)), C60, 0)*Assumptions!$G$65</f>
        <v>0</v>
      </c>
      <c r="E60" s="56">
        <f>D60/Assumptions!$K$66</f>
        <v>0</v>
      </c>
      <c r="F60" t="s">
        <v>366</v>
      </c>
    </row>
    <row r="61" spans="1:9" x14ac:dyDescent="0.3">
      <c r="A61" s="68"/>
    </row>
    <row r="62" spans="1:9" x14ac:dyDescent="0.3">
      <c r="A62" s="68" t="s">
        <v>334</v>
      </c>
      <c r="B62" t="s">
        <v>571</v>
      </c>
      <c r="C62" s="56">
        <f>'Unit Costs'!$G$29</f>
        <v>516251</v>
      </c>
      <c r="D62" s="56">
        <f>IF(AND(Assumptions!$K$11="Yes",OR(Assumptions!$K$12=Lists!$AB$2,Assumptions!$K$12=Lists!$AB$3)), C62, 0)</f>
        <v>0</v>
      </c>
      <c r="E62" s="56">
        <f t="shared" ref="E62:E67" si="1">D62</f>
        <v>0</v>
      </c>
      <c r="F62" t="s">
        <v>366</v>
      </c>
    </row>
    <row r="63" spans="1:9" x14ac:dyDescent="0.3">
      <c r="A63" s="68"/>
      <c r="B63" t="s">
        <v>336</v>
      </c>
      <c r="C63" s="56">
        <f>'Unit Costs'!$G$30*$B$7/$B$6</f>
        <v>35400.057142857142</v>
      </c>
      <c r="D63" s="56">
        <f>IF(AND(Assumptions!$K$11="Yes",OR(Assumptions!$K$12=Lists!$AB$2,Assumptions!$K$12=Lists!$AB$3)), C63, 0)</f>
        <v>0</v>
      </c>
      <c r="E63" s="56">
        <f t="shared" si="1"/>
        <v>0</v>
      </c>
      <c r="F63" t="s">
        <v>366</v>
      </c>
    </row>
    <row r="64" spans="1:9" x14ac:dyDescent="0.3">
      <c r="A64" s="68"/>
      <c r="B64" t="s">
        <v>337</v>
      </c>
      <c r="C64" s="56">
        <f>'Unit Costs'!$G$40</f>
        <v>4337</v>
      </c>
      <c r="D64" s="56">
        <f>IF(AND(Assumptions!$K$11="Yes",OR(Assumptions!$K$12=Lists!$AB$2,Assumptions!$K$12=Lists!$AB$3)), C64, 0)</f>
        <v>0</v>
      </c>
      <c r="E64" s="56">
        <f t="shared" si="1"/>
        <v>0</v>
      </c>
      <c r="F64" t="s">
        <v>366</v>
      </c>
    </row>
    <row r="65" spans="1:8" x14ac:dyDescent="0.3">
      <c r="A65" s="68"/>
      <c r="B65" t="s">
        <v>338</v>
      </c>
      <c r="C65" s="56">
        <f>4*(Assumptions!$K$70*'Unit Costs'!$G$26)</f>
        <v>5160</v>
      </c>
      <c r="D65" s="56">
        <f>IF(AND(Assumptions!$K$11="Yes",OR(Assumptions!$K$12=Lists!$AB$2,Assumptions!$K$12=Lists!$AB$3)), C65, 0)</f>
        <v>0</v>
      </c>
      <c r="E65" s="56">
        <f t="shared" si="1"/>
        <v>0</v>
      </c>
      <c r="F65" t="s">
        <v>366</v>
      </c>
    </row>
    <row r="66" spans="1:8" x14ac:dyDescent="0.3">
      <c r="A66" s="68"/>
      <c r="B66" t="s">
        <v>339</v>
      </c>
      <c r="C66" s="56">
        <f>4*((Assumptions!$K$70-1)*'Unit Costs'!$G$27)</f>
        <v>5760</v>
      </c>
      <c r="D66" s="56">
        <f>IF(AND(Assumptions!$K$11="Yes",OR(Assumptions!$K$12=Lists!$AB$2,Assumptions!$K$12=Lists!$AB$3)), C66, 0)</f>
        <v>0</v>
      </c>
      <c r="E66" s="56">
        <f t="shared" si="1"/>
        <v>0</v>
      </c>
      <c r="F66" t="s">
        <v>366</v>
      </c>
    </row>
    <row r="67" spans="1:8" x14ac:dyDescent="0.3">
      <c r="A67" s="68"/>
      <c r="B67" s="149" t="s">
        <v>556</v>
      </c>
      <c r="C67" s="56">
        <f>4*'Unit Costs'!$G$32*ROUNDUP($B$6/Assumptions!$K$64,0)*Assumptions!$K$70/($B$6)</f>
        <v>2949.9428571428571</v>
      </c>
      <c r="D67" s="56">
        <f>IF(AND(Assumptions!$K$11="Yes",OR(Assumptions!$K$12=Lists!$AB$2,Assumptions!$K$12=Lists!$AB$3)), C67, 0)*Assumptions!$G$65</f>
        <v>0</v>
      </c>
      <c r="E67" s="56">
        <f t="shared" si="1"/>
        <v>0</v>
      </c>
      <c r="F67" t="s">
        <v>366</v>
      </c>
    </row>
    <row r="68" spans="1:8" x14ac:dyDescent="0.3">
      <c r="A68" s="68"/>
    </row>
    <row r="69" spans="1:8" x14ac:dyDescent="0.3">
      <c r="A69" s="68" t="s">
        <v>341</v>
      </c>
      <c r="B69" s="63" t="s">
        <v>342</v>
      </c>
      <c r="C69" s="64">
        <f>'Unit Costs'!$G$41</f>
        <v>69694</v>
      </c>
      <c r="D69" s="64">
        <f>IF(AND(Assumptions!$K$11="Yes",Assumptions!$K$12=Lists!$AB$2), C69, 0)</f>
        <v>0</v>
      </c>
      <c r="E69" s="64">
        <f>D69</f>
        <v>0</v>
      </c>
      <c r="F69" t="s">
        <v>366</v>
      </c>
      <c r="G69" t="s">
        <v>343</v>
      </c>
    </row>
    <row r="70" spans="1:8" x14ac:dyDescent="0.3">
      <c r="A70" s="68"/>
      <c r="B70" s="63" t="s">
        <v>557</v>
      </c>
      <c r="C70" s="64">
        <f>'Unit Costs'!$G$42</f>
        <v>30975</v>
      </c>
      <c r="D70" s="64">
        <f>IF(AND(Assumptions!$K$11="Yes",Assumptions!$K$12=Lists!$AB$2), C70, 0)</f>
        <v>0</v>
      </c>
      <c r="E70" s="64">
        <f>D70</f>
        <v>0</v>
      </c>
      <c r="F70" t="s">
        <v>366</v>
      </c>
    </row>
    <row r="71" spans="1:8" x14ac:dyDescent="0.3">
      <c r="A71" s="68"/>
      <c r="C71" s="56"/>
      <c r="D71" s="56"/>
      <c r="E71" s="56"/>
    </row>
    <row r="72" spans="1:8" x14ac:dyDescent="0.3">
      <c r="A72" s="68" t="s">
        <v>345</v>
      </c>
      <c r="B72" t="s">
        <v>346</v>
      </c>
      <c r="C72" s="56">
        <f>'Unit Costs'!$G$43</f>
        <v>10067</v>
      </c>
      <c r="D72" s="56">
        <f>IF(AND(Assumptions!$K$11="Yes",Assumptions!$K$12=Lists!$AB$3),C72,0)</f>
        <v>0</v>
      </c>
      <c r="E72" s="56">
        <f>D72</f>
        <v>0</v>
      </c>
      <c r="F72" t="s">
        <v>366</v>
      </c>
    </row>
    <row r="73" spans="1:8" x14ac:dyDescent="0.3">
      <c r="A73" s="68"/>
      <c r="C73" s="56"/>
      <c r="D73" s="56"/>
      <c r="E73" s="56"/>
    </row>
    <row r="74" spans="1:8" x14ac:dyDescent="0.3">
      <c r="A74" s="68"/>
    </row>
    <row r="75" spans="1:8" ht="15.6" x14ac:dyDescent="0.3">
      <c r="A75" s="13" t="s">
        <v>347</v>
      </c>
      <c r="B75" s="13"/>
      <c r="C75" s="13"/>
      <c r="D75" s="13"/>
      <c r="E75" s="13"/>
      <c r="F75" s="13"/>
      <c r="H75" s="60"/>
    </row>
    <row r="76" spans="1:8" x14ac:dyDescent="0.3">
      <c r="A76" s="68" t="s">
        <v>326</v>
      </c>
      <c r="B76" t="s">
        <v>348</v>
      </c>
      <c r="C76" s="56">
        <f>'Unit Costs'!$G$21*'Unit Costs'!$E$21</f>
        <v>61950.119999999995</v>
      </c>
      <c r="D76" s="56">
        <f>IF(AND(Assumptions!$K$11="Yes",Assumptions!$K$12=Lists!$AB$4), C76, 0)</f>
        <v>0</v>
      </c>
      <c r="E76" s="56">
        <f>D76/Assumptions!$K$75</f>
        <v>0</v>
      </c>
      <c r="F76" t="s">
        <v>572</v>
      </c>
      <c r="H76" s="59"/>
    </row>
    <row r="77" spans="1:8" x14ac:dyDescent="0.3">
      <c r="A77" s="68"/>
      <c r="B77" t="s">
        <v>350</v>
      </c>
      <c r="C77" s="56">
        <f>'Unit Costs'!$G$44</f>
        <v>7744</v>
      </c>
      <c r="D77" s="56">
        <f>IF(AND(Assumptions!$K$11="Yes",Assumptions!$K$12=Lists!$AB$4), C77, 0)</f>
        <v>0</v>
      </c>
      <c r="E77" s="56">
        <f>D77/Assumptions!$K$76</f>
        <v>0</v>
      </c>
      <c r="F77" t="s">
        <v>572</v>
      </c>
    </row>
    <row r="78" spans="1:8" x14ac:dyDescent="0.3">
      <c r="A78" s="68"/>
      <c r="B78" t="s">
        <v>330</v>
      </c>
      <c r="C78" s="56">
        <f>'Unit Costs'!$G$24</f>
        <v>38719</v>
      </c>
      <c r="D78" s="56">
        <f>IF(AND(Assumptions!$K$11="Yes",Assumptions!$K$12=Lists!$AB$4), C78, 0)</f>
        <v>0</v>
      </c>
      <c r="E78" s="56">
        <f>D78/Assumptions!$K$75</f>
        <v>0</v>
      </c>
      <c r="F78" t="s">
        <v>572</v>
      </c>
    </row>
    <row r="79" spans="1:8" x14ac:dyDescent="0.3">
      <c r="A79" s="68"/>
      <c r="B79" t="s">
        <v>351</v>
      </c>
      <c r="C79" s="56">
        <f>Assumptions!$K$69*'Unit Costs'!$G$26</f>
        <v>3225</v>
      </c>
      <c r="D79" s="56">
        <f>IF(AND(Assumptions!$K$11="Yes",Assumptions!$K$12=Lists!$AB$4), C79, 0)</f>
        <v>0</v>
      </c>
      <c r="E79" s="56">
        <f>D79/Assumptions!$K$75</f>
        <v>0</v>
      </c>
      <c r="F79" t="s">
        <v>572</v>
      </c>
    </row>
    <row r="80" spans="1:8" x14ac:dyDescent="0.3">
      <c r="A80" s="68"/>
      <c r="B80" t="s">
        <v>352</v>
      </c>
      <c r="C80" s="56">
        <f>(Assumptions!$K$69-1)*'Unit Costs'!$G$27</f>
        <v>5760</v>
      </c>
      <c r="D80" s="56">
        <f>IF(AND(Assumptions!$K$11="Yes",Assumptions!$K$12=Lists!$AB$4), C80, 0)</f>
        <v>0</v>
      </c>
      <c r="E80" s="56">
        <f>D80/Assumptions!$K$75</f>
        <v>0</v>
      </c>
      <c r="F80" t="s">
        <v>572</v>
      </c>
    </row>
    <row r="81" spans="1:6" x14ac:dyDescent="0.3">
      <c r="A81" s="68"/>
      <c r="B81" s="149" t="s">
        <v>353</v>
      </c>
      <c r="C81" s="56">
        <f>'Unit Costs'!$G$32*ROUNDUP($B$9/Assumptions!$K$74,0)*Assumptions!$K$80*Assumptions!$K$81/($B$9)</f>
        <v>0</v>
      </c>
      <c r="D81" s="56">
        <f>IF(AND(Assumptions!$K$11="Yes",Assumptions!$K$12=Lists!$AB$4), C81, 0)*Assumptions!$G$79</f>
        <v>0</v>
      </c>
      <c r="E81" s="56">
        <f>D81/Assumptions!$K$75</f>
        <v>0</v>
      </c>
      <c r="F81" t="s">
        <v>572</v>
      </c>
    </row>
    <row r="82" spans="1:6" x14ac:dyDescent="0.3">
      <c r="A82" s="68"/>
    </row>
    <row r="83" spans="1:6" x14ac:dyDescent="0.3">
      <c r="A83" s="68" t="s">
        <v>354</v>
      </c>
      <c r="B83" t="s">
        <v>355</v>
      </c>
      <c r="C83" s="56">
        <f>'Unit Costs'!$G$29</f>
        <v>516251</v>
      </c>
      <c r="D83" s="56">
        <f>IF(AND(Assumptions!$K$11="Yes",Assumptions!$K$12=Lists!$AB$4), C83, 0)</f>
        <v>0</v>
      </c>
      <c r="E83" s="56">
        <f t="shared" ref="E83:E88" si="2">D83</f>
        <v>0</v>
      </c>
      <c r="F83" t="s">
        <v>572</v>
      </c>
    </row>
    <row r="84" spans="1:6" x14ac:dyDescent="0.3">
      <c r="A84" s="68"/>
      <c r="B84" t="s">
        <v>356</v>
      </c>
      <c r="C84" s="56">
        <f>'Unit Costs'!$G$30*$B$11/$B$10</f>
        <v>31860.051428571427</v>
      </c>
      <c r="D84" s="56">
        <f>IF(AND(Assumptions!$K$11="Yes",Assumptions!$K$12=Lists!$AB$4), C84, 0)</f>
        <v>0</v>
      </c>
      <c r="E84" s="56">
        <f t="shared" si="2"/>
        <v>0</v>
      </c>
      <c r="F84" t="s">
        <v>572</v>
      </c>
    </row>
    <row r="85" spans="1:6" x14ac:dyDescent="0.3">
      <c r="A85" s="68"/>
      <c r="B85" t="s">
        <v>337</v>
      </c>
      <c r="C85" s="56">
        <f>'Unit Costs'!$G$40</f>
        <v>4337</v>
      </c>
      <c r="D85" s="56">
        <f>IF(AND(Assumptions!$K$11="Yes",Assumptions!$K$12=Lists!$AB$4), C85, 0)</f>
        <v>0</v>
      </c>
      <c r="E85" s="56">
        <f t="shared" si="2"/>
        <v>0</v>
      </c>
      <c r="F85" t="s">
        <v>572</v>
      </c>
    </row>
    <row r="86" spans="1:6" x14ac:dyDescent="0.3">
      <c r="A86" s="68"/>
      <c r="B86" t="s">
        <v>357</v>
      </c>
      <c r="C86" s="56">
        <f>4*(Assumptions!$K$70*'Unit Costs'!$G$26)</f>
        <v>5160</v>
      </c>
      <c r="D86" s="56">
        <f>IF(AND(Assumptions!$K$11="Yes",Assumptions!$K$12=Lists!$AB$4), C86, 0)</f>
        <v>0</v>
      </c>
      <c r="E86" s="56">
        <f t="shared" si="2"/>
        <v>0</v>
      </c>
      <c r="F86" t="s">
        <v>572</v>
      </c>
    </row>
    <row r="87" spans="1:6" x14ac:dyDescent="0.3">
      <c r="A87" s="68"/>
      <c r="B87" t="s">
        <v>358</v>
      </c>
      <c r="C87" s="56">
        <f>4*((Assumptions!$K$70-1)*'Unit Costs'!$G$27)</f>
        <v>5760</v>
      </c>
      <c r="D87" s="56">
        <f>IF(AND(Assumptions!$K$11="Yes",Assumptions!$K$12=Lists!$AB$4), C87, 0)</f>
        <v>0</v>
      </c>
      <c r="E87" s="56">
        <f t="shared" si="2"/>
        <v>0</v>
      </c>
      <c r="F87" t="s">
        <v>572</v>
      </c>
    </row>
    <row r="88" spans="1:6" x14ac:dyDescent="0.3">
      <c r="A88" s="68"/>
      <c r="B88" s="149" t="s">
        <v>359</v>
      </c>
      <c r="C88" s="56">
        <f>'Unit Costs'!$G$32*ROUNDUP($B$9/Assumptions!$K$74,0)*Assumptions!$K$82*Assumptions!$K$83/($B$9)</f>
        <v>0</v>
      </c>
      <c r="D88" s="56">
        <f>IF(AND(Assumptions!$K$11="Yes",Assumptions!$K$12=Lists!$AB$4), C88, 0)*Assumptions!$G$79</f>
        <v>0</v>
      </c>
      <c r="E88" s="56">
        <f t="shared" si="2"/>
        <v>0</v>
      </c>
      <c r="F88" t="s">
        <v>572</v>
      </c>
    </row>
    <row r="89" spans="1:6" x14ac:dyDescent="0.3">
      <c r="A89" s="68"/>
    </row>
    <row r="90" spans="1:6" x14ac:dyDescent="0.3">
      <c r="A90" s="68" t="s">
        <v>360</v>
      </c>
      <c r="B90" s="63" t="s">
        <v>361</v>
      </c>
      <c r="C90" s="64">
        <f>'Unit Costs'!$G$41</f>
        <v>69694</v>
      </c>
      <c r="D90" s="56">
        <f>IF(AND(Assumptions!$K$11="Yes",Assumptions!$K$12=Lists!$AB$4), C90, 0)</f>
        <v>0</v>
      </c>
      <c r="E90" s="64">
        <f>D90</f>
        <v>0</v>
      </c>
      <c r="F90" t="s">
        <v>572</v>
      </c>
    </row>
    <row r="91" spans="1:6" x14ac:dyDescent="0.3">
      <c r="A91" s="68"/>
      <c r="B91" s="63" t="s">
        <v>557</v>
      </c>
      <c r="C91" s="64">
        <f>'Unit Costs'!$G$42</f>
        <v>30975</v>
      </c>
      <c r="D91" s="56">
        <f>IF(AND(Assumptions!$K$11="Yes",Assumptions!$K$12=Lists!$AB$4), C91, 0)</f>
        <v>0</v>
      </c>
      <c r="E91" s="64">
        <f>D91</f>
        <v>0</v>
      </c>
      <c r="F91" t="s">
        <v>572</v>
      </c>
    </row>
    <row r="92" spans="1:6" x14ac:dyDescent="0.3">
      <c r="A92" s="68"/>
      <c r="D92" s="56"/>
    </row>
    <row r="93" spans="1:6" x14ac:dyDescent="0.3">
      <c r="A93" s="68"/>
      <c r="D93" s="56"/>
    </row>
    <row r="94" spans="1:6" x14ac:dyDescent="0.3">
      <c r="A94" s="68" t="s">
        <v>362</v>
      </c>
      <c r="B94" t="s">
        <v>363</v>
      </c>
      <c r="C94" s="56">
        <f>(('Unit Costs'!$G$35+(Assumptions!$K$80-2)*'Unit Costs'!$G$36)*Assumptions!$K$81)*$B$9/$B$10</f>
        <v>0</v>
      </c>
      <c r="D94" s="56">
        <f>IF(AND(Assumptions!$K$11="Yes",Assumptions!$K$12=Lists!$AB$4),C94,0)</f>
        <v>0</v>
      </c>
      <c r="E94" s="56">
        <f>D94</f>
        <v>0</v>
      </c>
      <c r="F94" t="s">
        <v>572</v>
      </c>
    </row>
    <row r="95" spans="1:6" x14ac:dyDescent="0.3">
      <c r="A95" s="68"/>
      <c r="B95" t="s">
        <v>364</v>
      </c>
      <c r="C95" s="56">
        <f>(('Unit Costs'!$G$35+(Assumptions!$K$82-2)*'Unit Costs'!$G$36)*Assumptions!$K$83)*$B$9/$B$10</f>
        <v>0</v>
      </c>
      <c r="D95" s="56">
        <f>IF(AND(Assumptions!$K$11="Yes",Assumptions!$K$12=Lists!$AB$4),C95,0)</f>
        <v>0</v>
      </c>
      <c r="E95" s="56">
        <f>D95</f>
        <v>0</v>
      </c>
      <c r="F95" t="s">
        <v>572</v>
      </c>
    </row>
    <row r="96" spans="1:6" x14ac:dyDescent="0.3">
      <c r="A96" s="68"/>
      <c r="C96" s="56"/>
      <c r="D96" s="56"/>
      <c r="E96" s="56"/>
    </row>
    <row r="98" spans="1:9" ht="18" x14ac:dyDescent="0.35">
      <c r="A98" s="58" t="s">
        <v>365</v>
      </c>
      <c r="B98" s="58"/>
      <c r="C98" s="58"/>
      <c r="D98" s="58"/>
      <c r="E98" s="58"/>
      <c r="F98" s="58"/>
      <c r="G98" s="58"/>
      <c r="H98" s="58"/>
      <c r="I98" s="58"/>
    </row>
    <row r="99" spans="1:9" x14ac:dyDescent="0.3">
      <c r="A99" s="13" t="s">
        <v>14</v>
      </c>
      <c r="E99" s="56">
        <f>SUM(E15:$E$31)</f>
        <v>224599.33333333331</v>
      </c>
      <c r="F99" t="s">
        <v>299</v>
      </c>
    </row>
    <row r="100" spans="1:9" x14ac:dyDescent="0.3">
      <c r="E100" s="56">
        <f>E99/$B$6</f>
        <v>12834.247619047617</v>
      </c>
      <c r="F100" t="s">
        <v>366</v>
      </c>
    </row>
    <row r="101" spans="1:9" x14ac:dyDescent="0.3">
      <c r="E101" s="74">
        <f>E99/$B$3</f>
        <v>213.90412698412698</v>
      </c>
      <c r="F101" s="75" t="s">
        <v>311</v>
      </c>
    </row>
    <row r="103" spans="1:9" x14ac:dyDescent="0.3">
      <c r="A103" s="13" t="s">
        <v>15</v>
      </c>
      <c r="E103" s="74">
        <f>SUM($E$34:$E$43)</f>
        <v>3072</v>
      </c>
      <c r="F103" s="75" t="s">
        <v>311</v>
      </c>
    </row>
    <row r="104" spans="1:9" x14ac:dyDescent="0.3">
      <c r="E104" s="56"/>
    </row>
    <row r="105" spans="1:9" x14ac:dyDescent="0.3">
      <c r="A105" s="13" t="s">
        <v>16</v>
      </c>
      <c r="E105" s="74">
        <f>SUM($E$46:$E$51)</f>
        <v>3892.2</v>
      </c>
      <c r="F105" s="75" t="s">
        <v>311</v>
      </c>
    </row>
    <row r="107" spans="1:9" x14ac:dyDescent="0.3">
      <c r="A107" s="13" t="s">
        <v>17</v>
      </c>
      <c r="E107" s="56">
        <f>SUM($E$55:$E$72)</f>
        <v>0</v>
      </c>
      <c r="F107" t="s">
        <v>366</v>
      </c>
    </row>
    <row r="108" spans="1:9" x14ac:dyDescent="0.3">
      <c r="E108" s="74">
        <f>E107*$B$6/$B$3</f>
        <v>0</v>
      </c>
      <c r="F108" s="75" t="s">
        <v>311</v>
      </c>
    </row>
    <row r="109" spans="1:9" x14ac:dyDescent="0.3">
      <c r="E109" s="56"/>
    </row>
    <row r="110" spans="1:9" x14ac:dyDescent="0.3">
      <c r="A110" s="13" t="s">
        <v>18</v>
      </c>
      <c r="E110" s="56">
        <f>SUM($E$76:$E$96)</f>
        <v>0</v>
      </c>
      <c r="F110" t="s">
        <v>367</v>
      </c>
    </row>
    <row r="111" spans="1:9" x14ac:dyDescent="0.3">
      <c r="E111" s="74">
        <f>E110*$B$10/$B$3</f>
        <v>0</v>
      </c>
      <c r="F111" s="75" t="s">
        <v>311</v>
      </c>
    </row>
    <row r="112" spans="1:9" x14ac:dyDescent="0.3">
      <c r="E112" s="56"/>
    </row>
    <row r="113" spans="1:8" x14ac:dyDescent="0.3">
      <c r="A113" s="13" t="s">
        <v>19</v>
      </c>
      <c r="E113" s="74">
        <f>SUM(E101,E103,E105,E108)*Assumptions!$K$22</f>
        <v>358.90520634920631</v>
      </c>
      <c r="F113" s="75" t="s">
        <v>311</v>
      </c>
    </row>
    <row r="115" spans="1:8" x14ac:dyDescent="0.3">
      <c r="A115" s="70" t="s">
        <v>368</v>
      </c>
      <c r="B115" s="55"/>
      <c r="C115" s="55"/>
      <c r="D115" s="55"/>
      <c r="E115" s="71">
        <f>SUM($E$101,$E$103,$E$105,$E$108,$E$111,$E$113)</f>
        <v>7537.0093333333325</v>
      </c>
      <c r="F115" s="70" t="s">
        <v>311</v>
      </c>
      <c r="G115" s="56"/>
    </row>
    <row r="116" spans="1:8" x14ac:dyDescent="0.3">
      <c r="A116" s="69"/>
      <c r="B116" s="69"/>
      <c r="C116" s="69"/>
      <c r="D116" s="69"/>
      <c r="E116" s="72">
        <f>E115/Assumptions!$K$20</f>
        <v>215.34312380952377</v>
      </c>
      <c r="F116" s="73" t="s">
        <v>369</v>
      </c>
      <c r="G116" s="56"/>
    </row>
    <row r="117" spans="1:8" x14ac:dyDescent="0.3">
      <c r="A117" s="70" t="s">
        <v>370</v>
      </c>
      <c r="B117" s="55"/>
      <c r="C117" s="55"/>
      <c r="D117" s="55"/>
      <c r="E117" s="80">
        <f>E115/Assumptions!$K$23</f>
        <v>407.40590990990984</v>
      </c>
      <c r="F117" s="70" t="s">
        <v>311</v>
      </c>
      <c r="G117" s="56"/>
      <c r="H117" s="79"/>
    </row>
    <row r="118" spans="1:8" x14ac:dyDescent="0.3">
      <c r="A118" s="69"/>
      <c r="B118" s="69"/>
      <c r="C118" s="69"/>
      <c r="D118" s="69"/>
      <c r="E118" s="81">
        <f>E117/Assumptions!$K$20</f>
        <v>11.640168854568852</v>
      </c>
      <c r="F118" s="73" t="s">
        <v>369</v>
      </c>
      <c r="G118" s="56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F7040-A635-4C18-8C57-6EE5F690B0A2}">
  <sheetPr>
    <tabColor rgb="FF00B050"/>
  </sheetPr>
  <dimension ref="A1:I118"/>
  <sheetViews>
    <sheetView topLeftCell="A24" zoomScale="88" zoomScaleNormal="88" workbookViewId="0">
      <selection activeCell="E43" sqref="E43"/>
    </sheetView>
  </sheetViews>
  <sheetFormatPr defaultRowHeight="14.4" x14ac:dyDescent="0.3"/>
  <cols>
    <col min="1" max="1" width="47" customWidth="1"/>
    <col min="2" max="2" width="60.6640625" bestFit="1" customWidth="1"/>
    <col min="3" max="3" width="22.33203125" customWidth="1"/>
    <col min="4" max="4" width="28.6640625" customWidth="1"/>
    <col min="5" max="5" width="27.6640625" customWidth="1"/>
    <col min="6" max="6" width="38.6640625" customWidth="1"/>
    <col min="7" max="7" width="9.33203125" bestFit="1" customWidth="1"/>
    <col min="8" max="8" width="34" customWidth="1"/>
    <col min="10" max="10" width="28.88671875" customWidth="1"/>
  </cols>
  <sheetData>
    <row r="1" spans="1:9" ht="18" x14ac:dyDescent="0.35">
      <c r="A1" s="58" t="s">
        <v>282</v>
      </c>
      <c r="B1" s="58"/>
      <c r="C1" s="58"/>
      <c r="D1" s="58"/>
      <c r="E1" s="58"/>
      <c r="F1" s="58"/>
      <c r="G1" s="58"/>
      <c r="H1" s="58"/>
      <c r="I1" s="58"/>
    </row>
    <row r="2" spans="1:9" ht="13.5" customHeight="1" x14ac:dyDescent="0.3">
      <c r="A2" t="s">
        <v>283</v>
      </c>
      <c r="B2" s="59">
        <f>Assumptions!$L$14</f>
        <v>175</v>
      </c>
      <c r="C2" s="13"/>
      <c r="D2" s="13"/>
    </row>
    <row r="3" spans="1:9" ht="13.5" customHeight="1" x14ac:dyDescent="0.3">
      <c r="A3" t="s">
        <v>284</v>
      </c>
      <c r="B3" s="59">
        <f>Assumptions!$L$14*Assumptions!$L$16</f>
        <v>1050</v>
      </c>
      <c r="C3" s="13"/>
      <c r="D3" s="13"/>
    </row>
    <row r="4" spans="1:9" ht="13.5" customHeight="1" x14ac:dyDescent="0.3">
      <c r="A4" t="s">
        <v>285</v>
      </c>
      <c r="B4" s="59">
        <f>$B$3*Assumptions!$L$20</f>
        <v>36750</v>
      </c>
      <c r="C4" s="13"/>
      <c r="D4" s="13"/>
      <c r="E4" s="59"/>
    </row>
    <row r="5" spans="1:9" ht="6.75" customHeight="1" x14ac:dyDescent="0.3">
      <c r="B5" s="59"/>
      <c r="C5" s="13"/>
      <c r="D5" s="13"/>
      <c r="E5" s="59"/>
    </row>
    <row r="6" spans="1:9" ht="13.5" customHeight="1" x14ac:dyDescent="0.3">
      <c r="A6" t="s">
        <v>286</v>
      </c>
      <c r="B6" s="59">
        <f>B3/Assumptions!$L$17</f>
        <v>17.5</v>
      </c>
      <c r="C6" s="13"/>
      <c r="D6" s="13"/>
      <c r="E6" s="59"/>
    </row>
    <row r="7" spans="1:9" ht="13.5" customHeight="1" x14ac:dyDescent="0.3">
      <c r="A7" t="s">
        <v>287</v>
      </c>
      <c r="B7" s="59">
        <f>ROUNDUP(B6/Assumptions!$L$64,0)</f>
        <v>1</v>
      </c>
      <c r="C7" s="13"/>
      <c r="D7" s="13"/>
    </row>
    <row r="8" spans="1:9" ht="6.75" customHeight="1" x14ac:dyDescent="0.3">
      <c r="B8" s="59"/>
      <c r="C8" s="13"/>
      <c r="D8" s="13"/>
    </row>
    <row r="9" spans="1:9" ht="13.5" customHeight="1" x14ac:dyDescent="0.3">
      <c r="A9" t="s">
        <v>288</v>
      </c>
      <c r="B9" s="59">
        <f>$B$2</f>
        <v>175</v>
      </c>
      <c r="C9" s="13"/>
      <c r="D9" s="13"/>
    </row>
    <row r="10" spans="1:9" ht="13.5" customHeight="1" x14ac:dyDescent="0.3">
      <c r="A10" t="s">
        <v>289</v>
      </c>
      <c r="B10" s="59">
        <f>ROUND($B$9/Assumptions!$L$18,0)</f>
        <v>175</v>
      </c>
    </row>
    <row r="11" spans="1:9" ht="13.5" customHeight="1" x14ac:dyDescent="0.3">
      <c r="A11" t="s">
        <v>290</v>
      </c>
      <c r="B11" s="59">
        <f>ROUNDUP($B$10/Assumptions!$L$74,0)</f>
        <v>9</v>
      </c>
    </row>
    <row r="12" spans="1:9" ht="6.75" customHeight="1" x14ac:dyDescent="0.3">
      <c r="B12" s="59"/>
    </row>
    <row r="13" spans="1:9" ht="18" x14ac:dyDescent="0.35">
      <c r="A13" s="58" t="s">
        <v>291</v>
      </c>
      <c r="B13" s="58"/>
      <c r="C13" s="58"/>
      <c r="D13" s="58"/>
      <c r="E13" s="58"/>
      <c r="F13" s="58"/>
      <c r="G13" s="58"/>
      <c r="H13" s="58"/>
      <c r="I13" s="58"/>
    </row>
    <row r="14" spans="1:9" s="13" customFormat="1" x14ac:dyDescent="0.3">
      <c r="A14" s="13" t="s">
        <v>292</v>
      </c>
      <c r="B14" s="13" t="s">
        <v>293</v>
      </c>
      <c r="C14" s="13" t="s">
        <v>294</v>
      </c>
      <c r="D14" s="13" t="s">
        <v>295</v>
      </c>
      <c r="E14" s="13" t="s">
        <v>296</v>
      </c>
      <c r="F14" s="13" t="s">
        <v>297</v>
      </c>
    </row>
    <row r="15" spans="1:9" x14ac:dyDescent="0.3">
      <c r="B15" t="s">
        <v>298</v>
      </c>
      <c r="C15" s="56">
        <f>'Unit Costs'!$G$3*Assumptions!$L$27</f>
        <v>77440</v>
      </c>
      <c r="D15" s="56">
        <f>C15</f>
        <v>77440</v>
      </c>
      <c r="E15" s="56">
        <f>D15/Assumptions!$L$31</f>
        <v>6453.333333333333</v>
      </c>
      <c r="F15" t="s">
        <v>299</v>
      </c>
      <c r="H15" s="57"/>
    </row>
    <row r="16" spans="1:9" x14ac:dyDescent="0.3">
      <c r="B16" t="s">
        <v>300</v>
      </c>
      <c r="C16" s="56">
        <f>('Unit Costs'!$G$4+'Unit Costs'!$G$5)*Assumptions!$L$29*Assumptions!$L$28</f>
        <v>135510</v>
      </c>
      <c r="D16" s="56">
        <f>C16</f>
        <v>135510</v>
      </c>
      <c r="E16" s="56">
        <f>D16/Assumptions!$L$31</f>
        <v>11292.5</v>
      </c>
      <c r="F16" t="s">
        <v>299</v>
      </c>
    </row>
    <row r="17" spans="1:8" ht="15" customHeight="1" x14ac:dyDescent="0.3">
      <c r="B17" t="s">
        <v>569</v>
      </c>
      <c r="C17" s="56">
        <f>(('Unit Costs'!$G$6*Assumptions!$L$28)+('Unit Costs'!$G$7))*Assumptions!$L$30</f>
        <v>54408</v>
      </c>
      <c r="D17" s="56">
        <f>C17</f>
        <v>54408</v>
      </c>
      <c r="E17" s="56">
        <f>D17/Assumptions!$L$31</f>
        <v>4534</v>
      </c>
      <c r="F17" t="s">
        <v>299</v>
      </c>
    </row>
    <row r="18" spans="1:8" x14ac:dyDescent="0.3">
      <c r="B18" t="s">
        <v>302</v>
      </c>
      <c r="C18" s="56">
        <f>'Unit Costs'!$G$3*Assumptions!$L$38</f>
        <v>19360</v>
      </c>
      <c r="D18" s="56">
        <f>IF(Assumptions!$L$10="Home Language",0,$C18)</f>
        <v>19360</v>
      </c>
      <c r="E18" s="56">
        <f>D18/Assumptions!$L$42</f>
        <v>1613.3333333333333</v>
      </c>
      <c r="F18" t="s">
        <v>299</v>
      </c>
    </row>
    <row r="19" spans="1:8" x14ac:dyDescent="0.3">
      <c r="B19" t="s">
        <v>303</v>
      </c>
      <c r="C19" s="56">
        <f>('Unit Costs'!$G$4+'Unit Costs'!$G$5)*Assumptions!$L$39*Assumptions!$L$40</f>
        <v>67755</v>
      </c>
      <c r="D19" s="56">
        <f>IF(Assumptions!$L$10="Home Language",0,$C19)</f>
        <v>67755</v>
      </c>
      <c r="E19" s="56">
        <f>D19/Assumptions!$L$42</f>
        <v>5646.25</v>
      </c>
      <c r="F19" t="s">
        <v>299</v>
      </c>
    </row>
    <row r="20" spans="1:8" x14ac:dyDescent="0.3">
      <c r="B20" t="s">
        <v>558</v>
      </c>
      <c r="C20" s="56">
        <f>(('Unit Costs'!$G$6*Assumptions!$L$39)+('Unit Costs'!$G$7))*Assumptions!$L$41</f>
        <v>45272</v>
      </c>
      <c r="D20" s="56">
        <f>IF(Assumptions!$L$10="Home Language",0,$C20)</f>
        <v>45272</v>
      </c>
      <c r="E20" s="56">
        <f>D20/Assumptions!$L$42</f>
        <v>3772.6666666666665</v>
      </c>
      <c r="F20" t="s">
        <v>299</v>
      </c>
    </row>
    <row r="21" spans="1:8" x14ac:dyDescent="0.3">
      <c r="C21" s="56"/>
      <c r="D21" s="56"/>
      <c r="E21" s="56"/>
    </row>
    <row r="22" spans="1:8" x14ac:dyDescent="0.3">
      <c r="A22" s="13" t="s">
        <v>304</v>
      </c>
      <c r="C22" s="56"/>
      <c r="D22" s="56"/>
      <c r="E22" s="56"/>
      <c r="H22" s="57"/>
    </row>
    <row r="23" spans="1:8" x14ac:dyDescent="0.3">
      <c r="A23" s="13"/>
      <c r="B23" t="s">
        <v>305</v>
      </c>
      <c r="C23" s="56">
        <f>'Unit Costs'!$G$3*Assumptions!$L$32</f>
        <v>19360</v>
      </c>
      <c r="D23" s="56">
        <f>C23</f>
        <v>19360</v>
      </c>
      <c r="E23" s="56">
        <f>D23*Assumptions!$L$36/Assumptions!$L$31</f>
        <v>4840</v>
      </c>
      <c r="F23" t="s">
        <v>299</v>
      </c>
      <c r="H23" s="57"/>
    </row>
    <row r="24" spans="1:8" x14ac:dyDescent="0.3">
      <c r="B24" t="s">
        <v>300</v>
      </c>
      <c r="C24" s="56">
        <f>('Unit Costs'!$G$4+'Unit Costs'!$G$5)*Assumptions!$L$34*Assumptions!$L$33</f>
        <v>135510</v>
      </c>
      <c r="D24" s="56">
        <f>C24</f>
        <v>135510</v>
      </c>
      <c r="E24" s="56">
        <f>D24*Assumptions!$L$36/Assumptions!$L$31</f>
        <v>33877.5</v>
      </c>
      <c r="F24" t="s">
        <v>299</v>
      </c>
    </row>
    <row r="25" spans="1:8" ht="15" customHeight="1" x14ac:dyDescent="0.3">
      <c r="B25" t="s">
        <v>569</v>
      </c>
      <c r="C25" s="56">
        <f>(('Unit Costs'!$G$6*Assumptions!$L$33)+('Unit Costs'!$G$7))*Assumptions!$L$35</f>
        <v>54408</v>
      </c>
      <c r="D25" s="56">
        <f>C25</f>
        <v>54408</v>
      </c>
      <c r="E25" s="56">
        <f>D25*Assumptions!$L$36/Assumptions!$L$31</f>
        <v>13602</v>
      </c>
      <c r="F25" t="s">
        <v>299</v>
      </c>
    </row>
    <row r="26" spans="1:8" x14ac:dyDescent="0.3">
      <c r="B26" t="s">
        <v>306</v>
      </c>
      <c r="C26" s="56">
        <f>'Unit Costs'!$G$3*Assumptions!$L$43</f>
        <v>7744</v>
      </c>
      <c r="D26" s="56">
        <f>IF(Assumptions!$L$10="Home Language",0,$C26)</f>
        <v>7744</v>
      </c>
      <c r="E26" s="56">
        <f>D26*Assumptions!$L$47/Assumptions!$L$42</f>
        <v>1936</v>
      </c>
      <c r="F26" t="s">
        <v>299</v>
      </c>
    </row>
    <row r="27" spans="1:8" x14ac:dyDescent="0.3">
      <c r="B27" t="s">
        <v>303</v>
      </c>
      <c r="C27" s="56">
        <f>('Unit Costs'!$G$4+'Unit Costs'!$G$5)*Assumptions!$L$44*Assumptions!$L$45</f>
        <v>67755</v>
      </c>
      <c r="D27" s="56">
        <f>IF(Assumptions!$L$10="Home Language",0,$C27)</f>
        <v>67755</v>
      </c>
      <c r="E27" s="56">
        <f>D27*Assumptions!$L$47/Assumptions!$L$42</f>
        <v>16938.75</v>
      </c>
      <c r="F27" t="s">
        <v>299</v>
      </c>
    </row>
    <row r="28" spans="1:8" x14ac:dyDescent="0.3">
      <c r="B28" t="s">
        <v>558</v>
      </c>
      <c r="C28" s="56">
        <f>(('Unit Costs'!$G$6*Assumptions!$L$44)+('Unit Costs'!$G$7))*Assumptions!$L$46</f>
        <v>45272</v>
      </c>
      <c r="D28" s="56">
        <f>IF(Assumptions!$L$10="Home Language",0,$C28)</f>
        <v>45272</v>
      </c>
      <c r="E28" s="56">
        <f>D28*Assumptions!$L$47/Assumptions!$L$42</f>
        <v>11318</v>
      </c>
      <c r="F28" t="s">
        <v>299</v>
      </c>
    </row>
    <row r="29" spans="1:8" x14ac:dyDescent="0.3">
      <c r="C29" s="56"/>
      <c r="D29" s="56"/>
      <c r="E29" s="56"/>
    </row>
    <row r="30" spans="1:8" x14ac:dyDescent="0.3">
      <c r="A30" s="13" t="s">
        <v>307</v>
      </c>
      <c r="C30" s="56"/>
      <c r="D30" s="56"/>
      <c r="E30" s="56"/>
    </row>
    <row r="31" spans="1:8" x14ac:dyDescent="0.3">
      <c r="A31" s="13"/>
      <c r="B31" t="s">
        <v>308</v>
      </c>
      <c r="C31" s="56">
        <f>'Unit Costs'!$G$10</f>
        <v>150000</v>
      </c>
      <c r="D31" s="56">
        <f>IF(Assumptions!$L$13="Yes",$C31,0)</f>
        <v>150000</v>
      </c>
      <c r="E31" s="56">
        <f>D31</f>
        <v>150000</v>
      </c>
      <c r="F31" t="s">
        <v>299</v>
      </c>
    </row>
    <row r="33" spans="1:6" x14ac:dyDescent="0.3">
      <c r="A33" s="13" t="s">
        <v>309</v>
      </c>
      <c r="C33" s="56"/>
      <c r="D33" s="56"/>
      <c r="E33" s="56"/>
    </row>
    <row r="34" spans="1:6" x14ac:dyDescent="0.3">
      <c r="A34" s="13"/>
      <c r="B34" t="s">
        <v>310</v>
      </c>
      <c r="C34" s="56">
        <f>'Unit Costs'!$G$13</f>
        <v>1505</v>
      </c>
      <c r="D34" s="56">
        <f>C34</f>
        <v>1505</v>
      </c>
      <c r="E34" s="56">
        <f>D34/Assumptions!$L$50</f>
        <v>752.5</v>
      </c>
      <c r="F34" t="s">
        <v>311</v>
      </c>
    </row>
    <row r="35" spans="1:6" x14ac:dyDescent="0.3">
      <c r="B35" t="s">
        <v>312</v>
      </c>
      <c r="C35" s="56">
        <f>'Unit Costs'!$G$16</f>
        <v>811</v>
      </c>
      <c r="D35" s="56">
        <f>IF(Assumptions!$L$10="Home Language",0,$C35)</f>
        <v>811</v>
      </c>
      <c r="E35" s="56">
        <f>D35/Assumptions!$L$50</f>
        <v>405.5</v>
      </c>
      <c r="F35" t="s">
        <v>311</v>
      </c>
    </row>
    <row r="36" spans="1:6" x14ac:dyDescent="0.3">
      <c r="C36" s="56"/>
      <c r="D36" s="56"/>
      <c r="E36" s="56"/>
    </row>
    <row r="37" spans="1:6" x14ac:dyDescent="0.3">
      <c r="A37" s="13" t="s">
        <v>313</v>
      </c>
      <c r="C37" s="56"/>
      <c r="D37" s="56"/>
      <c r="E37" s="56"/>
    </row>
    <row r="38" spans="1:6" x14ac:dyDescent="0.3">
      <c r="A38" s="13"/>
      <c r="B38" t="s">
        <v>314</v>
      </c>
      <c r="C38" s="56">
        <f>'Unit Costs'!$G$12</f>
        <v>615</v>
      </c>
      <c r="D38" s="56">
        <f>IF(Assumptions!$L$13="Yes",0,$C38)</f>
        <v>0</v>
      </c>
      <c r="E38" s="56">
        <f>D38/Assumptions!$L$50</f>
        <v>0</v>
      </c>
      <c r="F38" t="s">
        <v>311</v>
      </c>
    </row>
    <row r="39" spans="1:6" x14ac:dyDescent="0.3">
      <c r="B39" t="s">
        <v>315</v>
      </c>
      <c r="C39" s="56">
        <f>'Unit Costs'!$G$15</f>
        <v>331</v>
      </c>
      <c r="D39" s="56">
        <f>IF(OR(Assumptions!$L$13="Yes", Assumptions!$L$10="Home Language"),0,$C39)</f>
        <v>0</v>
      </c>
      <c r="E39" s="56">
        <f>D39/Assumptions!$L$50</f>
        <v>0</v>
      </c>
      <c r="F39" t="s">
        <v>311</v>
      </c>
    </row>
    <row r="40" spans="1:6" x14ac:dyDescent="0.3">
      <c r="C40" s="56"/>
      <c r="D40" s="56"/>
      <c r="E40" s="56"/>
    </row>
    <row r="41" spans="1:6" x14ac:dyDescent="0.3">
      <c r="A41" s="13" t="s">
        <v>316</v>
      </c>
      <c r="C41" s="56"/>
      <c r="D41" s="56"/>
      <c r="E41" s="56"/>
    </row>
    <row r="42" spans="1:6" x14ac:dyDescent="0.3">
      <c r="A42" s="13"/>
      <c r="B42" t="s">
        <v>199</v>
      </c>
      <c r="C42" s="56">
        <f>'Unit Costs'!$G$18</f>
        <v>2839</v>
      </c>
      <c r="D42" s="56">
        <f>IF(Assumptions!$L$13="Yes",$C42,0)</f>
        <v>2839</v>
      </c>
      <c r="E42" s="56">
        <f>D42/Assumptions!$L$50</f>
        <v>1419.5</v>
      </c>
      <c r="F42" t="s">
        <v>311</v>
      </c>
    </row>
    <row r="43" spans="1:6" x14ac:dyDescent="0.3">
      <c r="B43" t="s">
        <v>203</v>
      </c>
      <c r="C43" s="56">
        <f>'Unit Costs'!$G$19</f>
        <v>900</v>
      </c>
      <c r="D43" s="56">
        <f>IF(Assumptions!$L$13="Yes",$C43,0)</f>
        <v>900</v>
      </c>
      <c r="E43" s="56">
        <f>D43</f>
        <v>900</v>
      </c>
      <c r="F43" t="s">
        <v>311</v>
      </c>
    </row>
    <row r="45" spans="1:6" x14ac:dyDescent="0.3">
      <c r="A45" s="13" t="s">
        <v>16</v>
      </c>
      <c r="C45" s="56"/>
      <c r="D45" s="56"/>
      <c r="E45" s="56"/>
    </row>
    <row r="46" spans="1:6" x14ac:dyDescent="0.3">
      <c r="A46" s="13"/>
      <c r="B46" t="s">
        <v>317</v>
      </c>
      <c r="C46" s="56">
        <f>'Unit Costs'!$G$37*(Assumptions!$L$55*Assumptions!$L$56)</f>
        <v>1239</v>
      </c>
      <c r="D46" s="56">
        <f t="shared" ref="D46:E50" si="0">C46</f>
        <v>1239</v>
      </c>
      <c r="E46" s="56">
        <f t="shared" si="0"/>
        <v>1239</v>
      </c>
      <c r="F46" t="s">
        <v>311</v>
      </c>
    </row>
    <row r="47" spans="1:6" x14ac:dyDescent="0.3">
      <c r="A47" s="13"/>
      <c r="B47" t="s">
        <v>318</v>
      </c>
      <c r="C47" s="56">
        <f>(Assumptions!$L$55-1)*Assumptions!$L$56*'Unit Costs'!$G$34</f>
        <v>2880</v>
      </c>
      <c r="D47" s="56">
        <f>C47</f>
        <v>2880</v>
      </c>
      <c r="E47" s="56">
        <f>D47</f>
        <v>2880</v>
      </c>
      <c r="F47" t="s">
        <v>311</v>
      </c>
    </row>
    <row r="48" spans="1:6" x14ac:dyDescent="0.3">
      <c r="B48" t="s">
        <v>319</v>
      </c>
      <c r="C48" s="56">
        <f>'Unit Costs'!$G$37*(Assumptions!$L$57*Assumptions!$L$58)</f>
        <v>2478</v>
      </c>
      <c r="D48" s="56">
        <f t="shared" si="0"/>
        <v>2478</v>
      </c>
      <c r="E48" s="56">
        <f t="shared" si="0"/>
        <v>2478</v>
      </c>
      <c r="F48" t="s">
        <v>311</v>
      </c>
    </row>
    <row r="49" spans="1:9" x14ac:dyDescent="0.3">
      <c r="B49" t="s">
        <v>320</v>
      </c>
      <c r="C49" s="56">
        <f>(Assumptions!$L$57-1)*Assumptions!$L$58*'Unit Costs'!$G$34</f>
        <v>4320</v>
      </c>
      <c r="D49" s="56">
        <f>C49</f>
        <v>4320</v>
      </c>
      <c r="E49" s="56">
        <f>D49</f>
        <v>4320</v>
      </c>
      <c r="F49" t="s">
        <v>311</v>
      </c>
    </row>
    <row r="50" spans="1:9" x14ac:dyDescent="0.3">
      <c r="B50" t="s">
        <v>321</v>
      </c>
      <c r="C50" s="56">
        <f>'Unit Costs'!$G$38*Assumptions!$L$59*Assumptions!$L$60</f>
        <v>0</v>
      </c>
      <c r="D50" s="56">
        <f t="shared" si="0"/>
        <v>0</v>
      </c>
      <c r="E50" s="56">
        <f t="shared" si="0"/>
        <v>0</v>
      </c>
      <c r="F50" t="s">
        <v>311</v>
      </c>
    </row>
    <row r="51" spans="1:9" x14ac:dyDescent="0.3">
      <c r="B51" s="149" t="s">
        <v>322</v>
      </c>
      <c r="C51" s="56">
        <f>'Unit Costs'!$G$31*ROUNDUP($B$3/Assumptions!$L$53,0)*(Assumptions!$L$55*Assumptions!$L$56+Assumptions!$L$57*Assumptions!$L$58)/$B$3</f>
        <v>696.96</v>
      </c>
      <c r="D51" s="56">
        <f>IF(Assumptions!$L$11 = "Yes", C51*Assumptions!$L$54, C51)</f>
        <v>696.96</v>
      </c>
      <c r="E51" s="56">
        <f>D51</f>
        <v>696.96</v>
      </c>
      <c r="F51" t="s">
        <v>311</v>
      </c>
      <c r="G51" t="s">
        <v>323</v>
      </c>
    </row>
    <row r="53" spans="1:9" ht="18" x14ac:dyDescent="0.35">
      <c r="A53" s="58" t="s">
        <v>324</v>
      </c>
      <c r="B53" s="58"/>
      <c r="C53" s="58"/>
      <c r="D53" s="58"/>
      <c r="E53" s="58"/>
      <c r="F53" s="58"/>
      <c r="G53" s="58"/>
      <c r="H53" s="58"/>
      <c r="I53" s="58"/>
    </row>
    <row r="54" spans="1:9" ht="15.6" x14ac:dyDescent="0.3">
      <c r="A54" s="13" t="s">
        <v>325</v>
      </c>
      <c r="B54" s="13"/>
      <c r="C54" s="13"/>
      <c r="D54" s="13"/>
      <c r="E54" s="13"/>
      <c r="F54" s="13"/>
      <c r="H54" s="60"/>
    </row>
    <row r="55" spans="1:9" x14ac:dyDescent="0.3">
      <c r="A55" s="68" t="s">
        <v>326</v>
      </c>
      <c r="B55" t="s">
        <v>327</v>
      </c>
      <c r="C55" s="56">
        <f>'Unit Costs'!$G$21*'Unit Costs'!$E$21</f>
        <v>61950.119999999995</v>
      </c>
      <c r="D55" s="56">
        <f>IF(AND(Assumptions!$L$11="Yes",OR(Assumptions!$L$12=Lists!$AB$2,Assumptions!$L$12=Lists!$AB$3)), C55, 0)</f>
        <v>0</v>
      </c>
      <c r="E55" s="56">
        <f>D55/Assumptions!$L$66</f>
        <v>0</v>
      </c>
      <c r="F55" t="s">
        <v>328</v>
      </c>
      <c r="H55" s="59"/>
    </row>
    <row r="56" spans="1:9" x14ac:dyDescent="0.3">
      <c r="A56" s="68"/>
      <c r="B56" t="s">
        <v>329</v>
      </c>
      <c r="C56" s="56">
        <f>'Unit Costs'!$G$44</f>
        <v>7744</v>
      </c>
      <c r="D56" s="56">
        <f>IF(AND(Assumptions!$L$11="Yes",OR(Assumptions!$L$12=Lists!$AB$2,Assumptions!$L$12=Lists!$AB$3)), C56, 0)</f>
        <v>0</v>
      </c>
      <c r="E56" s="56">
        <f>D56/Assumptions!$L$67</f>
        <v>0</v>
      </c>
      <c r="F56" t="s">
        <v>328</v>
      </c>
    </row>
    <row r="57" spans="1:9" x14ac:dyDescent="0.3">
      <c r="A57" s="68"/>
      <c r="B57" t="s">
        <v>330</v>
      </c>
      <c r="C57" s="56">
        <f>'Unit Costs'!$G$24</f>
        <v>38719</v>
      </c>
      <c r="D57" s="56">
        <f>IF(AND(Assumptions!$L$11="Yes",OR(Assumptions!$L$12=Lists!$AB$2,Assumptions!$L$12=Lists!$AB$3)), C57, 0)</f>
        <v>0</v>
      </c>
      <c r="E57" s="56">
        <f>D57/Assumptions!$L$66</f>
        <v>0</v>
      </c>
      <c r="F57" t="s">
        <v>328</v>
      </c>
    </row>
    <row r="58" spans="1:9" x14ac:dyDescent="0.3">
      <c r="A58" s="68"/>
      <c r="B58" t="s">
        <v>331</v>
      </c>
      <c r="C58" s="56">
        <f>Assumptions!$L$69*'Unit Costs'!$G$26</f>
        <v>3225</v>
      </c>
      <c r="D58" s="56">
        <f>IF(AND(Assumptions!$L$11="Yes",OR(Assumptions!$L$12=Lists!$AB$2,Assumptions!$L$12=Lists!$AB$3)), C58, 0)</f>
        <v>0</v>
      </c>
      <c r="E58" s="56">
        <f>D58/Assumptions!$L$66</f>
        <v>0</v>
      </c>
      <c r="F58" t="s">
        <v>328</v>
      </c>
    </row>
    <row r="59" spans="1:9" x14ac:dyDescent="0.3">
      <c r="A59" s="68"/>
      <c r="B59" t="s">
        <v>332</v>
      </c>
      <c r="C59" s="56">
        <f>(Assumptions!$L$69-1)*'Unit Costs'!$G$27</f>
        <v>5760</v>
      </c>
      <c r="D59" s="56">
        <f>IF(AND(Assumptions!$L$11="Yes",OR(Assumptions!$L$12=Lists!$AB$2,Assumptions!$L$12=Lists!$AB$3)), C59, 0)</f>
        <v>0</v>
      </c>
      <c r="E59" s="56">
        <f>D59/Assumptions!$L$66</f>
        <v>0</v>
      </c>
      <c r="F59" t="s">
        <v>328</v>
      </c>
    </row>
    <row r="60" spans="1:9" x14ac:dyDescent="0.3">
      <c r="A60" s="68"/>
      <c r="B60" s="149" t="s">
        <v>333</v>
      </c>
      <c r="C60" s="56">
        <f>'Unit Costs'!$G$32*ROUNDUP($B$6/Assumptions!$L$64,0)*Assumptions!C$69/($B$6)</f>
        <v>1843.7142857142858</v>
      </c>
      <c r="D60" s="56">
        <f>IF(AND(Assumptions!$L$11="Yes",OR(Assumptions!$L$12=Lists!$AB$2,Assumptions!$L$12=Lists!$AB$3)), C60, 0)*Assumptions!$G$65</f>
        <v>0</v>
      </c>
      <c r="E60" s="56">
        <f>D60/Assumptions!$L$66</f>
        <v>0</v>
      </c>
      <c r="F60" t="s">
        <v>328</v>
      </c>
    </row>
    <row r="61" spans="1:9" x14ac:dyDescent="0.3">
      <c r="A61" s="68"/>
    </row>
    <row r="62" spans="1:9" x14ac:dyDescent="0.3">
      <c r="A62" s="68" t="s">
        <v>334</v>
      </c>
      <c r="B62" t="s">
        <v>571</v>
      </c>
      <c r="C62" s="56">
        <f>'Unit Costs'!$G$29</f>
        <v>516251</v>
      </c>
      <c r="D62" s="56">
        <f>IF(AND(Assumptions!$L$11="Yes",OR(Assumptions!$L$12=Lists!$AB$2,Assumptions!$L$12=Lists!$AB$3)), C62, 0)</f>
        <v>0</v>
      </c>
      <c r="E62" s="56">
        <f t="shared" ref="E62:E67" si="1">D62</f>
        <v>0</v>
      </c>
      <c r="F62" t="s">
        <v>328</v>
      </c>
    </row>
    <row r="63" spans="1:9" x14ac:dyDescent="0.3">
      <c r="A63" s="68"/>
      <c r="B63" t="s">
        <v>336</v>
      </c>
      <c r="C63" s="56">
        <f>'Unit Costs'!$G$30*$B$7/$B$6</f>
        <v>35400.057142857142</v>
      </c>
      <c r="D63" s="56">
        <f>IF(AND(Assumptions!$L$11="Yes",OR(Assumptions!$L$12=Lists!$AB$2,Assumptions!$L$12=Lists!$AB$3)), C63, 0)</f>
        <v>0</v>
      </c>
      <c r="E63" s="56">
        <f t="shared" si="1"/>
        <v>0</v>
      </c>
      <c r="F63" t="s">
        <v>328</v>
      </c>
    </row>
    <row r="64" spans="1:9" x14ac:dyDescent="0.3">
      <c r="A64" s="68"/>
      <c r="B64" t="s">
        <v>337</v>
      </c>
      <c r="C64" s="56">
        <f>'Unit Costs'!$G$40</f>
        <v>4337</v>
      </c>
      <c r="D64" s="56">
        <f>IF(AND(Assumptions!$L$11="Yes",OR(Assumptions!$L$12=Lists!$AB$2,Assumptions!$L$12=Lists!$AB$3)), C64, 0)</f>
        <v>0</v>
      </c>
      <c r="E64" s="56">
        <f t="shared" si="1"/>
        <v>0</v>
      </c>
      <c r="F64" t="s">
        <v>328</v>
      </c>
    </row>
    <row r="65" spans="1:8" x14ac:dyDescent="0.3">
      <c r="A65" s="68"/>
      <c r="B65" t="s">
        <v>338</v>
      </c>
      <c r="C65" s="56">
        <f>4*(Assumptions!$L$70*'Unit Costs'!$G$26)</f>
        <v>5160</v>
      </c>
      <c r="D65" s="56">
        <f>IF(AND(Assumptions!$L$11="Yes",OR(Assumptions!$L$12=Lists!$AB$2,Assumptions!$L$12=Lists!$AB$3)), C65, 0)</f>
        <v>0</v>
      </c>
      <c r="E65" s="56">
        <f t="shared" si="1"/>
        <v>0</v>
      </c>
      <c r="F65" t="s">
        <v>328</v>
      </c>
    </row>
    <row r="66" spans="1:8" x14ac:dyDescent="0.3">
      <c r="A66" s="68"/>
      <c r="B66" t="s">
        <v>339</v>
      </c>
      <c r="C66" s="56">
        <f>4*((Assumptions!$L$70-1)*'Unit Costs'!$G$27)</f>
        <v>5760</v>
      </c>
      <c r="D66" s="56">
        <f>IF(AND(Assumptions!$L$11="Yes",OR(Assumptions!$L$12=Lists!$AB$2,Assumptions!$L$12=Lists!$AB$3)), C66, 0)</f>
        <v>0</v>
      </c>
      <c r="E66" s="56">
        <f t="shared" si="1"/>
        <v>0</v>
      </c>
      <c r="F66" t="s">
        <v>328</v>
      </c>
    </row>
    <row r="67" spans="1:8" x14ac:dyDescent="0.3">
      <c r="A67" s="68"/>
      <c r="B67" s="149" t="s">
        <v>340</v>
      </c>
      <c r="C67" s="56">
        <f>4*'Unit Costs'!$G$32*ROUNDUP($B$6/Assumptions!$L$64,0)*Assumptions!$L$70/($B$6)</f>
        <v>2949.9428571428571</v>
      </c>
      <c r="D67" s="56">
        <f>IF(AND(Assumptions!$L$11="Yes",OR(Assumptions!$L$12=Lists!$AB$2,Assumptions!$L$12=Lists!$AB$3)), C67, 0)*Assumptions!$G$65</f>
        <v>0</v>
      </c>
      <c r="E67" s="56">
        <f t="shared" si="1"/>
        <v>0</v>
      </c>
      <c r="F67" t="s">
        <v>328</v>
      </c>
    </row>
    <row r="68" spans="1:8" x14ac:dyDescent="0.3">
      <c r="A68" s="68"/>
    </row>
    <row r="69" spans="1:8" x14ac:dyDescent="0.3">
      <c r="A69" s="68" t="s">
        <v>341</v>
      </c>
      <c r="B69" s="63" t="s">
        <v>342</v>
      </c>
      <c r="C69" s="64">
        <f>'Unit Costs'!$G$41</f>
        <v>69694</v>
      </c>
      <c r="D69" s="64">
        <f>IF(AND(Assumptions!$L$11="Yes",Assumptions!$L$12=Lists!$AB$2), C69, 0)</f>
        <v>0</v>
      </c>
      <c r="E69" s="64">
        <f>D69</f>
        <v>0</v>
      </c>
      <c r="F69" s="63" t="s">
        <v>328</v>
      </c>
      <c r="G69" t="s">
        <v>343</v>
      </c>
    </row>
    <row r="70" spans="1:8" x14ac:dyDescent="0.3">
      <c r="A70" s="68"/>
      <c r="B70" s="63" t="s">
        <v>557</v>
      </c>
      <c r="C70" s="64">
        <f>'Unit Costs'!$G$42</f>
        <v>30975</v>
      </c>
      <c r="D70" s="64">
        <f>IF(AND(Assumptions!$L$11="Yes",Assumptions!$L$12=Lists!$AB$2), C70, 0)</f>
        <v>0</v>
      </c>
      <c r="E70" s="64">
        <f>D70</f>
        <v>0</v>
      </c>
      <c r="F70" s="63" t="s">
        <v>328</v>
      </c>
    </row>
    <row r="71" spans="1:8" x14ac:dyDescent="0.3">
      <c r="A71" s="68"/>
      <c r="C71" s="56"/>
      <c r="D71" s="56"/>
      <c r="E71" s="56"/>
    </row>
    <row r="72" spans="1:8" x14ac:dyDescent="0.3">
      <c r="A72" s="68" t="s">
        <v>345</v>
      </c>
      <c r="B72" t="s">
        <v>346</v>
      </c>
      <c r="C72" s="56">
        <f>'Unit Costs'!$G$43</f>
        <v>10067</v>
      </c>
      <c r="D72" s="56">
        <f>IF(AND(Assumptions!$L$11="Yes",Assumptions!$L$12=Lists!$AB$3),C72,0)</f>
        <v>0</v>
      </c>
      <c r="E72" s="56">
        <f>D72</f>
        <v>0</v>
      </c>
      <c r="F72" t="s">
        <v>328</v>
      </c>
    </row>
    <row r="73" spans="1:8" x14ac:dyDescent="0.3">
      <c r="A73" s="68"/>
      <c r="C73" s="56"/>
      <c r="D73" s="56"/>
      <c r="E73" s="56"/>
    </row>
    <row r="74" spans="1:8" x14ac:dyDescent="0.3">
      <c r="A74" s="68"/>
    </row>
    <row r="75" spans="1:8" ht="15.6" x14ac:dyDescent="0.3">
      <c r="A75" s="13" t="s">
        <v>347</v>
      </c>
      <c r="B75" s="13"/>
      <c r="C75" s="13"/>
      <c r="D75" s="13"/>
      <c r="E75" s="13"/>
      <c r="F75" s="13"/>
      <c r="H75" s="60"/>
    </row>
    <row r="76" spans="1:8" x14ac:dyDescent="0.3">
      <c r="A76" s="68" t="s">
        <v>326</v>
      </c>
      <c r="B76" t="s">
        <v>348</v>
      </c>
      <c r="C76" s="56">
        <f>'Unit Costs'!$G$21*'Unit Costs'!$E$21</f>
        <v>61950.119999999995</v>
      </c>
      <c r="D76" s="56">
        <f>IF(AND(Assumptions!$L$11="Yes",Assumptions!$L$12=Lists!$AB$4), C76, 0)</f>
        <v>0</v>
      </c>
      <c r="E76" s="56">
        <f>D76/Assumptions!$L$75</f>
        <v>0</v>
      </c>
      <c r="F76" t="s">
        <v>349</v>
      </c>
      <c r="H76" s="59"/>
    </row>
    <row r="77" spans="1:8" x14ac:dyDescent="0.3">
      <c r="A77" s="68"/>
      <c r="B77" t="s">
        <v>350</v>
      </c>
      <c r="C77" s="56">
        <f>'Unit Costs'!$G$44</f>
        <v>7744</v>
      </c>
      <c r="D77" s="56">
        <f>IF(AND(Assumptions!$L$11="Yes",Assumptions!$L$12=Lists!$AB$4), C77, 0)</f>
        <v>0</v>
      </c>
      <c r="E77" s="56">
        <f>D77/Assumptions!$L$76</f>
        <v>0</v>
      </c>
      <c r="F77" t="s">
        <v>349</v>
      </c>
    </row>
    <row r="78" spans="1:8" x14ac:dyDescent="0.3">
      <c r="A78" s="68"/>
      <c r="B78" t="s">
        <v>330</v>
      </c>
      <c r="C78" s="56">
        <f>'Unit Costs'!$G$24</f>
        <v>38719</v>
      </c>
      <c r="D78" s="56">
        <f>IF(AND(Assumptions!$L$11="Yes",Assumptions!$L$12=Lists!$AB$4), C78, 0)</f>
        <v>0</v>
      </c>
      <c r="E78" s="56">
        <f>D78/Assumptions!$L$75</f>
        <v>0</v>
      </c>
      <c r="F78" t="s">
        <v>349</v>
      </c>
    </row>
    <row r="79" spans="1:8" x14ac:dyDescent="0.3">
      <c r="A79" s="68"/>
      <c r="B79" t="s">
        <v>351</v>
      </c>
      <c r="C79" s="56">
        <f>Assumptions!$L$69*'Unit Costs'!$G$26</f>
        <v>3225</v>
      </c>
      <c r="D79" s="56">
        <f>IF(AND(Assumptions!$L$11="Yes",Assumptions!$L$12=Lists!$AB$4), C79, 0)</f>
        <v>0</v>
      </c>
      <c r="E79" s="56">
        <f>D79/Assumptions!$L$75</f>
        <v>0</v>
      </c>
      <c r="F79" t="s">
        <v>349</v>
      </c>
    </row>
    <row r="80" spans="1:8" x14ac:dyDescent="0.3">
      <c r="A80" s="68"/>
      <c r="B80" t="s">
        <v>352</v>
      </c>
      <c r="C80" s="56">
        <f>(Assumptions!$L$69-1)*'Unit Costs'!$G$27</f>
        <v>5760</v>
      </c>
      <c r="D80" s="56">
        <f>IF(AND(Assumptions!$L$11="Yes",Assumptions!$L$12=Lists!$AB$4), C80, 0)</f>
        <v>0</v>
      </c>
      <c r="E80" s="56">
        <f>D80/Assumptions!$L$75</f>
        <v>0</v>
      </c>
      <c r="F80" t="s">
        <v>349</v>
      </c>
    </row>
    <row r="81" spans="1:6" x14ac:dyDescent="0.3">
      <c r="A81" s="68"/>
      <c r="B81" s="149" t="s">
        <v>353</v>
      </c>
      <c r="C81" s="56">
        <f>'Unit Costs'!$G$32*ROUNDUP($B$9/Assumptions!$L$74,0)*Assumptions!$L$80*Assumptions!$L$81/($B$9)</f>
        <v>0</v>
      </c>
      <c r="D81" s="56">
        <f>IF(AND(Assumptions!$L$11="Yes",Assumptions!$L$12=Lists!$AB$4), C81, 0)*Assumptions!$G$79</f>
        <v>0</v>
      </c>
      <c r="E81" s="56">
        <f>D81/Assumptions!$L$75</f>
        <v>0</v>
      </c>
      <c r="F81" t="s">
        <v>349</v>
      </c>
    </row>
    <row r="82" spans="1:6" x14ac:dyDescent="0.3">
      <c r="A82" s="68"/>
    </row>
    <row r="83" spans="1:6" x14ac:dyDescent="0.3">
      <c r="A83" s="68" t="s">
        <v>354</v>
      </c>
      <c r="B83" t="s">
        <v>575</v>
      </c>
      <c r="C83" s="56">
        <f>'Unit Costs'!$G$29</f>
        <v>516251</v>
      </c>
      <c r="D83" s="56">
        <f>IF(AND(Assumptions!$L$11="Yes",Assumptions!$L$12=Lists!$AB$4), C83, 0)</f>
        <v>0</v>
      </c>
      <c r="E83" s="56">
        <f t="shared" ref="E83:E88" si="2">D83</f>
        <v>0</v>
      </c>
      <c r="F83" t="s">
        <v>349</v>
      </c>
    </row>
    <row r="84" spans="1:6" x14ac:dyDescent="0.3">
      <c r="A84" s="68"/>
      <c r="B84" t="s">
        <v>356</v>
      </c>
      <c r="C84" s="56">
        <f>'Unit Costs'!$G$30*$B$11/$B$10</f>
        <v>31860.051428571427</v>
      </c>
      <c r="D84" s="56">
        <f>IF(AND(Assumptions!$L$11="Yes",Assumptions!$L$12=Lists!$AB$4), C84, 0)</f>
        <v>0</v>
      </c>
      <c r="E84" s="56">
        <f t="shared" si="2"/>
        <v>0</v>
      </c>
      <c r="F84" t="s">
        <v>349</v>
      </c>
    </row>
    <row r="85" spans="1:6" x14ac:dyDescent="0.3">
      <c r="A85" s="68"/>
      <c r="B85" t="s">
        <v>337</v>
      </c>
      <c r="C85" s="56">
        <f>'Unit Costs'!$G$40</f>
        <v>4337</v>
      </c>
      <c r="D85" s="56">
        <f>IF(AND(Assumptions!$L$11="Yes",Assumptions!$L$12=Lists!$AB$4), C85, 0)</f>
        <v>0</v>
      </c>
      <c r="E85" s="56">
        <f t="shared" si="2"/>
        <v>0</v>
      </c>
      <c r="F85" t="s">
        <v>349</v>
      </c>
    </row>
    <row r="86" spans="1:6" x14ac:dyDescent="0.3">
      <c r="A86" s="68"/>
      <c r="B86" t="s">
        <v>357</v>
      </c>
      <c r="C86" s="56">
        <f>4*(Assumptions!$L$70*'Unit Costs'!$G$26)</f>
        <v>5160</v>
      </c>
      <c r="D86" s="56">
        <f>IF(AND(Assumptions!$L$11="Yes",Assumptions!$L$12=Lists!$AB$4), C86, 0)</f>
        <v>0</v>
      </c>
      <c r="E86" s="56">
        <f t="shared" si="2"/>
        <v>0</v>
      </c>
      <c r="F86" t="s">
        <v>349</v>
      </c>
    </row>
    <row r="87" spans="1:6" x14ac:dyDescent="0.3">
      <c r="A87" s="68"/>
      <c r="B87" t="s">
        <v>358</v>
      </c>
      <c r="C87" s="56">
        <f>4*((Assumptions!$L$70-1)*'Unit Costs'!$G$27)</f>
        <v>5760</v>
      </c>
      <c r="D87" s="56">
        <f>IF(AND(Assumptions!$L$11="Yes",Assumptions!$L$12=Lists!$AB$4), C87, 0)</f>
        <v>0</v>
      </c>
      <c r="E87" s="56">
        <f t="shared" si="2"/>
        <v>0</v>
      </c>
      <c r="F87" t="s">
        <v>349</v>
      </c>
    </row>
    <row r="88" spans="1:6" x14ac:dyDescent="0.3">
      <c r="A88" s="68"/>
      <c r="B88" s="149" t="s">
        <v>359</v>
      </c>
      <c r="C88" s="56">
        <f>'Unit Costs'!$G$32*ROUNDUP($B$9/Assumptions!$L$74,0)*Assumptions!$L$82*Assumptions!$L$83/($B$9)</f>
        <v>0</v>
      </c>
      <c r="D88" s="56">
        <f>IF(AND(Assumptions!$L$11="Yes",Assumptions!$L$12=Lists!$AB$4), C88, 0)*Assumptions!$G$79</f>
        <v>0</v>
      </c>
      <c r="E88" s="56">
        <f t="shared" si="2"/>
        <v>0</v>
      </c>
      <c r="F88" t="s">
        <v>349</v>
      </c>
    </row>
    <row r="89" spans="1:6" x14ac:dyDescent="0.3">
      <c r="A89" s="68"/>
    </row>
    <row r="90" spans="1:6" x14ac:dyDescent="0.3">
      <c r="A90" s="68" t="s">
        <v>360</v>
      </c>
      <c r="B90" s="63" t="s">
        <v>361</v>
      </c>
      <c r="C90" s="64">
        <f>'Unit Costs'!$G$41</f>
        <v>69694</v>
      </c>
      <c r="D90" s="56">
        <f>IF(AND(Assumptions!$L$11="Yes",Assumptions!$L$12=Lists!$AB$4), C90, 0)</f>
        <v>0</v>
      </c>
      <c r="E90" s="64">
        <f>D90</f>
        <v>0</v>
      </c>
      <c r="F90" t="s">
        <v>349</v>
      </c>
    </row>
    <row r="91" spans="1:6" x14ac:dyDescent="0.3">
      <c r="A91" s="68"/>
      <c r="B91" s="63" t="s">
        <v>557</v>
      </c>
      <c r="C91" s="64">
        <f>'Unit Costs'!$G$42</f>
        <v>30975</v>
      </c>
      <c r="D91" s="56">
        <f>IF(AND(Assumptions!$L$11="Yes",Assumptions!$L$12=Lists!$AB$4), C91, 0)</f>
        <v>0</v>
      </c>
      <c r="E91" s="64">
        <f>D91</f>
        <v>0</v>
      </c>
      <c r="F91" t="s">
        <v>349</v>
      </c>
    </row>
    <row r="92" spans="1:6" x14ac:dyDescent="0.3">
      <c r="A92" s="68"/>
      <c r="D92" s="56"/>
    </row>
    <row r="93" spans="1:6" x14ac:dyDescent="0.3">
      <c r="A93" s="68"/>
      <c r="D93" s="56"/>
    </row>
    <row r="94" spans="1:6" x14ac:dyDescent="0.3">
      <c r="A94" s="68" t="s">
        <v>362</v>
      </c>
      <c r="B94" t="s">
        <v>363</v>
      </c>
      <c r="C94" s="56">
        <f>(('Unit Costs'!$G$35+(Assumptions!$L$80-2)*'Unit Costs'!$G$36)*Assumptions!$L$81)*$B$9/$B$10</f>
        <v>0</v>
      </c>
      <c r="D94" s="56">
        <f>IF(AND(Assumptions!$L$11="Yes",Assumptions!$L$12=Lists!$AB$4),C94,0)</f>
        <v>0</v>
      </c>
      <c r="E94" s="56">
        <f>D94</f>
        <v>0</v>
      </c>
      <c r="F94" t="s">
        <v>349</v>
      </c>
    </row>
    <row r="95" spans="1:6" x14ac:dyDescent="0.3">
      <c r="A95" s="68"/>
      <c r="B95" t="s">
        <v>364</v>
      </c>
      <c r="C95" s="56">
        <f>(('Unit Costs'!$G$35+(Assumptions!$L$82-2)*'Unit Costs'!$G$36)*Assumptions!$L$83)*$B$9/$B$10</f>
        <v>0</v>
      </c>
      <c r="D95" s="56">
        <f>IF(AND(Assumptions!$L$11="Yes",Assumptions!$L$12=Lists!$AB$4),C95,0)</f>
        <v>0</v>
      </c>
      <c r="E95" s="56">
        <f>D95</f>
        <v>0</v>
      </c>
      <c r="F95" t="s">
        <v>349</v>
      </c>
    </row>
    <row r="96" spans="1:6" x14ac:dyDescent="0.3">
      <c r="A96" s="68"/>
      <c r="C96" s="56"/>
      <c r="D96" s="56"/>
      <c r="E96" s="56"/>
    </row>
    <row r="98" spans="1:9" ht="18" x14ac:dyDescent="0.35">
      <c r="A98" s="58" t="s">
        <v>365</v>
      </c>
      <c r="B98" s="58"/>
      <c r="C98" s="58"/>
      <c r="D98" s="58"/>
      <c r="E98" s="58"/>
      <c r="F98" s="58"/>
      <c r="G98" s="58"/>
      <c r="H98" s="58"/>
      <c r="I98" s="58"/>
    </row>
    <row r="99" spans="1:9" x14ac:dyDescent="0.3">
      <c r="A99" s="13" t="s">
        <v>14</v>
      </c>
      <c r="E99" s="56">
        <f>SUM(E15:$E$31)</f>
        <v>265824.33333333331</v>
      </c>
      <c r="F99" t="s">
        <v>299</v>
      </c>
    </row>
    <row r="100" spans="1:9" x14ac:dyDescent="0.3">
      <c r="E100" s="56">
        <f>E99/$B$6</f>
        <v>15189.961904761903</v>
      </c>
      <c r="F100" t="s">
        <v>366</v>
      </c>
    </row>
    <row r="101" spans="1:9" x14ac:dyDescent="0.3">
      <c r="E101" s="74">
        <f>E99/$B$3</f>
        <v>253.16603174603173</v>
      </c>
      <c r="F101" s="75" t="s">
        <v>311</v>
      </c>
    </row>
    <row r="103" spans="1:9" x14ac:dyDescent="0.3">
      <c r="A103" s="13" t="s">
        <v>15</v>
      </c>
      <c r="E103" s="74">
        <f>SUM($E$34:$E$43)</f>
        <v>3477.5</v>
      </c>
      <c r="F103" s="75" t="s">
        <v>311</v>
      </c>
    </row>
    <row r="104" spans="1:9" x14ac:dyDescent="0.3">
      <c r="E104" s="56"/>
    </row>
    <row r="105" spans="1:9" x14ac:dyDescent="0.3">
      <c r="A105" s="13" t="s">
        <v>16</v>
      </c>
      <c r="E105" s="74">
        <f>SUM($E$46:$E$51)</f>
        <v>11613.96</v>
      </c>
      <c r="F105" s="75" t="s">
        <v>311</v>
      </c>
    </row>
    <row r="107" spans="1:9" x14ac:dyDescent="0.3">
      <c r="A107" s="13" t="s">
        <v>17</v>
      </c>
      <c r="E107" s="56">
        <f>SUM($E$55:$E$72)</f>
        <v>0</v>
      </c>
      <c r="F107" t="s">
        <v>366</v>
      </c>
    </row>
    <row r="108" spans="1:9" x14ac:dyDescent="0.3">
      <c r="E108" s="74">
        <f>E107*$B$6/$B$3</f>
        <v>0</v>
      </c>
      <c r="F108" s="75" t="s">
        <v>311</v>
      </c>
    </row>
    <row r="109" spans="1:9" x14ac:dyDescent="0.3">
      <c r="E109" s="56"/>
    </row>
    <row r="110" spans="1:9" x14ac:dyDescent="0.3">
      <c r="A110" s="13" t="s">
        <v>18</v>
      </c>
      <c r="E110" s="56">
        <f>SUM($E$76:$E$96)</f>
        <v>0</v>
      </c>
      <c r="F110" t="s">
        <v>367</v>
      </c>
    </row>
    <row r="111" spans="1:9" x14ac:dyDescent="0.3">
      <c r="E111" s="74">
        <f>E110*$B$10/$B$3</f>
        <v>0</v>
      </c>
      <c r="F111" s="75" t="s">
        <v>311</v>
      </c>
    </row>
    <row r="112" spans="1:9" x14ac:dyDescent="0.3">
      <c r="E112" s="56"/>
    </row>
    <row r="113" spans="1:8" x14ac:dyDescent="0.3">
      <c r="A113" s="13" t="s">
        <v>19</v>
      </c>
      <c r="E113" s="74">
        <f>SUM(E101,E103,E105,E108)*Assumptions!$L$22</f>
        <v>767.23130158730157</v>
      </c>
      <c r="F113" s="75" t="s">
        <v>311</v>
      </c>
    </row>
    <row r="115" spans="1:8" x14ac:dyDescent="0.3">
      <c r="A115" s="70" t="s">
        <v>368</v>
      </c>
      <c r="B115" s="55"/>
      <c r="C115" s="55"/>
      <c r="D115" s="55"/>
      <c r="E115" s="71">
        <f>SUM($E$101,$E$103,$E$105,$E$108,$E$111,$E$113)</f>
        <v>16111.857333333333</v>
      </c>
      <c r="F115" s="70" t="s">
        <v>311</v>
      </c>
      <c r="G115" s="56"/>
    </row>
    <row r="116" spans="1:8" x14ac:dyDescent="0.3">
      <c r="A116" s="69"/>
      <c r="B116" s="69"/>
      <c r="C116" s="69"/>
      <c r="D116" s="69"/>
      <c r="E116" s="72">
        <f>E115/Assumptions!$L$20</f>
        <v>460.33878095238094</v>
      </c>
      <c r="F116" s="73" t="s">
        <v>369</v>
      </c>
      <c r="G116" s="56"/>
    </row>
    <row r="117" spans="1:8" x14ac:dyDescent="0.3">
      <c r="A117" s="70" t="s">
        <v>370</v>
      </c>
      <c r="B117" s="55"/>
      <c r="C117" s="55"/>
      <c r="D117" s="55"/>
      <c r="E117" s="80">
        <f>E115/Assumptions!$L$23</f>
        <v>870.91120720720721</v>
      </c>
      <c r="F117" s="70" t="s">
        <v>311</v>
      </c>
      <c r="G117" s="56"/>
      <c r="H117" s="79"/>
    </row>
    <row r="118" spans="1:8" x14ac:dyDescent="0.3">
      <c r="A118" s="69"/>
      <c r="B118" s="69"/>
      <c r="C118" s="69"/>
      <c r="D118" s="69"/>
      <c r="E118" s="81">
        <f>E117/Assumptions!$L$20</f>
        <v>24.883177348777348</v>
      </c>
      <c r="F118" s="73" t="s">
        <v>369</v>
      </c>
      <c r="G118" s="56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2F65E-00EB-46F6-A73E-8CF79C2E2816}">
  <sheetPr>
    <tabColor theme="0" tint="-0.249977111117893"/>
  </sheetPr>
  <dimension ref="A1:AC23"/>
  <sheetViews>
    <sheetView workbookViewId="0">
      <selection activeCell="K1" sqref="K1"/>
    </sheetView>
  </sheetViews>
  <sheetFormatPr defaultRowHeight="14.4" x14ac:dyDescent="0.3"/>
  <cols>
    <col min="1" max="1" width="13.6640625" customWidth="1"/>
    <col min="2" max="18" width="12.6640625" customWidth="1"/>
    <col min="19" max="19" width="15" bestFit="1" customWidth="1"/>
    <col min="20" max="21" width="12.6640625" customWidth="1"/>
    <col min="22" max="22" width="34.109375" customWidth="1"/>
    <col min="23" max="23" width="12.6640625" customWidth="1"/>
    <col min="24" max="24" width="14.109375" bestFit="1" customWidth="1"/>
    <col min="25" max="25" width="17.33203125" bestFit="1" customWidth="1"/>
    <col min="26" max="27" width="12.6640625" customWidth="1"/>
    <col min="28" max="28" width="28.6640625" customWidth="1"/>
    <col min="29" max="29" width="23.5546875" customWidth="1"/>
  </cols>
  <sheetData>
    <row r="1" spans="1:29" x14ac:dyDescent="0.3">
      <c r="A1" s="23" t="s">
        <v>371</v>
      </c>
      <c r="B1" s="24" t="s">
        <v>372</v>
      </c>
      <c r="C1" s="25" t="s">
        <v>373</v>
      </c>
      <c r="D1" s="26" t="s">
        <v>374</v>
      </c>
      <c r="E1" s="25" t="s">
        <v>375</v>
      </c>
      <c r="F1" s="25" t="s">
        <v>376</v>
      </c>
      <c r="G1" s="25" t="s">
        <v>377</v>
      </c>
      <c r="H1" s="27" t="s">
        <v>83</v>
      </c>
      <c r="I1" s="28" t="s">
        <v>90</v>
      </c>
      <c r="J1" s="23" t="s">
        <v>576</v>
      </c>
      <c r="K1" s="23" t="s">
        <v>577</v>
      </c>
      <c r="L1" s="23" t="s">
        <v>378</v>
      </c>
      <c r="M1" s="23" t="s">
        <v>379</v>
      </c>
      <c r="N1" s="23" t="s">
        <v>380</v>
      </c>
      <c r="O1" s="23" t="s">
        <v>381</v>
      </c>
      <c r="P1" s="23" t="s">
        <v>382</v>
      </c>
      <c r="Q1" s="23" t="s">
        <v>383</v>
      </c>
      <c r="R1" s="23" t="s">
        <v>384</v>
      </c>
      <c r="S1" s="23" t="s">
        <v>385</v>
      </c>
      <c r="T1" s="25" t="s">
        <v>386</v>
      </c>
      <c r="U1" s="23" t="s">
        <v>387</v>
      </c>
      <c r="V1" s="23" t="s">
        <v>388</v>
      </c>
      <c r="W1" s="23" t="s">
        <v>389</v>
      </c>
      <c r="X1" s="23" t="s">
        <v>390</v>
      </c>
      <c r="Y1" s="23" t="s">
        <v>391</v>
      </c>
      <c r="Z1" s="23" t="s">
        <v>392</v>
      </c>
      <c r="AA1" s="23" t="s">
        <v>393</v>
      </c>
      <c r="AB1" s="23" t="s">
        <v>394</v>
      </c>
      <c r="AC1" s="23" t="s">
        <v>22</v>
      </c>
    </row>
    <row r="2" spans="1:29" x14ac:dyDescent="0.3">
      <c r="A2" s="30" t="s">
        <v>395</v>
      </c>
      <c r="B2" s="31">
        <v>0.1</v>
      </c>
      <c r="C2" s="30">
        <v>1</v>
      </c>
      <c r="D2" s="32" t="s">
        <v>83</v>
      </c>
      <c r="E2" s="30">
        <v>0</v>
      </c>
      <c r="F2" s="30">
        <v>0</v>
      </c>
      <c r="G2" s="30">
        <v>0</v>
      </c>
      <c r="H2" s="33" t="s">
        <v>396</v>
      </c>
      <c r="I2" s="34" t="s">
        <v>396</v>
      </c>
      <c r="J2" s="30">
        <v>40</v>
      </c>
      <c r="K2" s="30">
        <v>10</v>
      </c>
      <c r="L2" s="30">
        <v>1</v>
      </c>
      <c r="M2" s="29">
        <v>0</v>
      </c>
      <c r="N2" s="30">
        <v>1</v>
      </c>
      <c r="O2" s="30">
        <v>10</v>
      </c>
      <c r="P2" s="30">
        <v>1</v>
      </c>
      <c r="Q2" s="31">
        <v>0</v>
      </c>
      <c r="R2" s="31">
        <v>0</v>
      </c>
      <c r="S2" s="30">
        <v>4</v>
      </c>
      <c r="T2" s="30" t="s">
        <v>397</v>
      </c>
      <c r="U2" s="30" t="s">
        <v>398</v>
      </c>
      <c r="V2" s="30" t="s">
        <v>399</v>
      </c>
      <c r="W2" s="31">
        <v>0</v>
      </c>
      <c r="X2" s="30" t="s">
        <v>88</v>
      </c>
      <c r="Y2" s="30" t="s">
        <v>400</v>
      </c>
      <c r="Z2" s="30">
        <v>39</v>
      </c>
      <c r="AA2" s="30">
        <v>1</v>
      </c>
      <c r="AB2" s="30" t="s">
        <v>91</v>
      </c>
      <c r="AC2" s="76">
        <v>17</v>
      </c>
    </row>
    <row r="3" spans="1:29" x14ac:dyDescent="0.3">
      <c r="A3" s="30" t="s">
        <v>401</v>
      </c>
      <c r="B3" s="31">
        <v>0.2</v>
      </c>
      <c r="C3" s="30">
        <v>2</v>
      </c>
      <c r="D3" s="35" t="s">
        <v>90</v>
      </c>
      <c r="E3" s="30">
        <v>1</v>
      </c>
      <c r="F3" s="30">
        <v>1</v>
      </c>
      <c r="G3" s="30">
        <v>1</v>
      </c>
      <c r="H3" s="30" t="s">
        <v>402</v>
      </c>
      <c r="I3" s="29"/>
      <c r="J3" s="30">
        <v>50</v>
      </c>
      <c r="K3" s="30">
        <v>20</v>
      </c>
      <c r="L3" s="30">
        <v>2</v>
      </c>
      <c r="M3" s="30">
        <v>1</v>
      </c>
      <c r="N3" s="30">
        <v>2</v>
      </c>
      <c r="O3" s="30">
        <v>11</v>
      </c>
      <c r="P3" s="30">
        <v>2</v>
      </c>
      <c r="Q3" s="31">
        <v>0.01</v>
      </c>
      <c r="R3" s="31">
        <v>0.05</v>
      </c>
      <c r="S3" s="30">
        <v>5</v>
      </c>
      <c r="T3" s="36" t="s">
        <v>403</v>
      </c>
      <c r="U3" s="30" t="s">
        <v>371</v>
      </c>
      <c r="V3" s="30" t="s">
        <v>404</v>
      </c>
      <c r="W3" s="31">
        <v>0.1</v>
      </c>
      <c r="X3" s="36" t="s">
        <v>89</v>
      </c>
      <c r="Y3" s="36" t="s">
        <v>405</v>
      </c>
      <c r="Z3" s="30">
        <v>20</v>
      </c>
      <c r="AA3" s="30">
        <v>2</v>
      </c>
      <c r="AB3" s="30" t="s">
        <v>92</v>
      </c>
      <c r="AC3" s="76">
        <v>17.5</v>
      </c>
    </row>
    <row r="4" spans="1:29" x14ac:dyDescent="0.3">
      <c r="A4" s="30" t="s">
        <v>406</v>
      </c>
      <c r="B4" s="31">
        <v>0.3</v>
      </c>
      <c r="C4" s="30">
        <v>3</v>
      </c>
      <c r="D4" s="29"/>
      <c r="E4" s="30">
        <v>2</v>
      </c>
      <c r="F4" s="30">
        <v>2</v>
      </c>
      <c r="G4" s="30">
        <v>2</v>
      </c>
      <c r="H4" s="36" t="s">
        <v>407</v>
      </c>
      <c r="I4" s="29"/>
      <c r="J4" s="30">
        <v>60</v>
      </c>
      <c r="K4" s="30">
        <v>30</v>
      </c>
      <c r="L4" s="30">
        <v>3</v>
      </c>
      <c r="M4" s="30">
        <v>2</v>
      </c>
      <c r="N4" s="30">
        <v>3</v>
      </c>
      <c r="O4" s="30">
        <v>12</v>
      </c>
      <c r="P4" s="30">
        <v>3</v>
      </c>
      <c r="Q4" s="31">
        <v>0.02</v>
      </c>
      <c r="R4" s="31">
        <v>0.1</v>
      </c>
      <c r="S4" s="30">
        <v>6</v>
      </c>
      <c r="T4" s="29"/>
      <c r="U4" s="30" t="s">
        <v>408</v>
      </c>
      <c r="V4" s="30" t="s">
        <v>409</v>
      </c>
      <c r="W4" s="31">
        <v>0.2</v>
      </c>
      <c r="X4" s="29"/>
      <c r="Y4" s="29"/>
      <c r="Z4" s="30">
        <v>30</v>
      </c>
      <c r="AA4" s="30">
        <v>3</v>
      </c>
      <c r="AB4" s="36" t="s">
        <v>93</v>
      </c>
      <c r="AC4" s="76">
        <v>18</v>
      </c>
    </row>
    <row r="5" spans="1:29" x14ac:dyDescent="0.3">
      <c r="A5" s="30" t="s">
        <v>410</v>
      </c>
      <c r="B5" s="31">
        <v>0.4</v>
      </c>
      <c r="C5" s="30">
        <v>4</v>
      </c>
      <c r="D5" s="29"/>
      <c r="E5" s="30">
        <v>3</v>
      </c>
      <c r="F5" s="30">
        <v>3</v>
      </c>
      <c r="G5" s="30">
        <v>3</v>
      </c>
      <c r="H5" s="29"/>
      <c r="I5" s="29"/>
      <c r="J5" s="30">
        <v>70</v>
      </c>
      <c r="K5" s="30">
        <v>40</v>
      </c>
      <c r="L5" s="30">
        <v>4</v>
      </c>
      <c r="M5" s="30">
        <v>3</v>
      </c>
      <c r="N5" s="30">
        <v>4</v>
      </c>
      <c r="O5" s="30">
        <v>13</v>
      </c>
      <c r="P5" s="30">
        <v>4</v>
      </c>
      <c r="Q5" s="31">
        <v>0.03</v>
      </c>
      <c r="R5" s="31">
        <v>0.15</v>
      </c>
      <c r="S5" s="30">
        <v>7</v>
      </c>
      <c r="T5" s="29"/>
      <c r="U5" s="30" t="s">
        <v>411</v>
      </c>
      <c r="V5" s="30" t="s">
        <v>412</v>
      </c>
      <c r="W5" s="31">
        <v>0.3</v>
      </c>
      <c r="X5" s="29"/>
      <c r="Y5" s="29"/>
      <c r="Z5" s="30">
        <v>34</v>
      </c>
      <c r="AA5" s="36">
        <v>4</v>
      </c>
      <c r="AB5" s="29"/>
      <c r="AC5" s="76">
        <v>18.5</v>
      </c>
    </row>
    <row r="6" spans="1:29" x14ac:dyDescent="0.3">
      <c r="A6" s="30" t="s">
        <v>413</v>
      </c>
      <c r="B6" s="31">
        <v>0.5</v>
      </c>
      <c r="C6" s="30">
        <v>5</v>
      </c>
      <c r="D6" s="29"/>
      <c r="E6" s="30">
        <v>4</v>
      </c>
      <c r="F6" s="36">
        <v>4</v>
      </c>
      <c r="G6" s="30">
        <v>4</v>
      </c>
      <c r="H6" s="29"/>
      <c r="I6" s="29"/>
      <c r="J6" s="30">
        <v>80</v>
      </c>
      <c r="K6" s="30">
        <v>50</v>
      </c>
      <c r="L6" s="30">
        <v>5</v>
      </c>
      <c r="M6" s="30">
        <v>4</v>
      </c>
      <c r="N6" s="30">
        <v>5</v>
      </c>
      <c r="O6" s="30">
        <v>14</v>
      </c>
      <c r="P6" s="30">
        <v>5</v>
      </c>
      <c r="Q6" s="31">
        <v>0.04</v>
      </c>
      <c r="R6" s="37">
        <v>0.2</v>
      </c>
      <c r="S6" s="30">
        <v>8</v>
      </c>
      <c r="T6" s="29"/>
      <c r="U6" s="30" t="s">
        <v>414</v>
      </c>
      <c r="V6" s="30" t="s">
        <v>415</v>
      </c>
      <c r="W6" s="31">
        <v>0.4</v>
      </c>
      <c r="X6" s="29"/>
      <c r="Y6" s="29"/>
      <c r="Z6" s="30">
        <v>37</v>
      </c>
      <c r="AA6" s="29"/>
      <c r="AB6" s="29"/>
      <c r="AC6" s="76">
        <v>19</v>
      </c>
    </row>
    <row r="7" spans="1:29" x14ac:dyDescent="0.3">
      <c r="A7" s="30" t="s">
        <v>416</v>
      </c>
      <c r="B7" s="31">
        <v>0.6</v>
      </c>
      <c r="C7" s="30">
        <v>6</v>
      </c>
      <c r="D7" s="29"/>
      <c r="E7" s="30">
        <v>5</v>
      </c>
      <c r="F7" s="29"/>
      <c r="G7" s="30">
        <v>5</v>
      </c>
      <c r="H7" s="29"/>
      <c r="I7" s="29"/>
      <c r="J7" s="30">
        <v>90</v>
      </c>
      <c r="K7" s="36">
        <v>60</v>
      </c>
      <c r="L7" s="30">
        <v>6</v>
      </c>
      <c r="M7" s="30">
        <v>5</v>
      </c>
      <c r="N7" s="30">
        <v>6</v>
      </c>
      <c r="O7" s="30">
        <v>15</v>
      </c>
      <c r="P7" s="30">
        <v>6</v>
      </c>
      <c r="Q7" s="31">
        <v>0.05</v>
      </c>
      <c r="R7" s="29"/>
      <c r="S7" s="30">
        <v>9</v>
      </c>
      <c r="T7" s="29"/>
      <c r="U7" s="36" t="s">
        <v>417</v>
      </c>
      <c r="V7" s="36" t="s">
        <v>418</v>
      </c>
      <c r="W7" s="31">
        <v>0.5</v>
      </c>
      <c r="X7" s="29"/>
      <c r="Y7" s="29"/>
      <c r="Z7" s="30">
        <v>9</v>
      </c>
      <c r="AA7" s="29"/>
      <c r="AB7" s="29"/>
      <c r="AC7" s="77">
        <v>19.5</v>
      </c>
    </row>
    <row r="8" spans="1:29" x14ac:dyDescent="0.3">
      <c r="A8" s="30" t="s">
        <v>419</v>
      </c>
      <c r="B8" s="31">
        <v>0.7</v>
      </c>
      <c r="C8" s="30">
        <v>7</v>
      </c>
      <c r="D8" s="29"/>
      <c r="E8" s="30">
        <v>6</v>
      </c>
      <c r="F8" s="29"/>
      <c r="G8" s="30">
        <v>6</v>
      </c>
      <c r="H8" s="29"/>
      <c r="I8" s="29"/>
      <c r="J8" s="36">
        <v>100</v>
      </c>
      <c r="K8" s="29"/>
      <c r="L8" s="30">
        <v>7</v>
      </c>
      <c r="M8" s="30">
        <v>6</v>
      </c>
      <c r="N8" s="30">
        <v>7</v>
      </c>
      <c r="O8" s="30">
        <v>16</v>
      </c>
      <c r="P8" s="30">
        <v>7</v>
      </c>
      <c r="Q8" s="31">
        <v>0.06</v>
      </c>
      <c r="R8" s="29"/>
      <c r="S8" s="30">
        <v>10</v>
      </c>
      <c r="T8" s="29"/>
      <c r="U8" s="29"/>
      <c r="V8" s="29"/>
      <c r="W8" s="31">
        <v>0.6</v>
      </c>
      <c r="X8" s="29"/>
      <c r="Y8" s="29"/>
      <c r="Z8" s="30">
        <v>27</v>
      </c>
      <c r="AA8" s="29"/>
      <c r="AB8" s="29"/>
      <c r="AC8" s="29"/>
    </row>
    <row r="9" spans="1:29" x14ac:dyDescent="0.3">
      <c r="A9" s="30" t="s">
        <v>420</v>
      </c>
      <c r="B9" s="31">
        <v>0.8</v>
      </c>
      <c r="C9" s="30">
        <v>8</v>
      </c>
      <c r="D9" s="29"/>
      <c r="E9" s="30">
        <v>7</v>
      </c>
      <c r="F9" s="29"/>
      <c r="G9" s="30">
        <v>7</v>
      </c>
      <c r="H9" s="29"/>
      <c r="I9" s="29"/>
      <c r="J9" s="29"/>
      <c r="K9" s="29"/>
      <c r="L9" s="30">
        <v>8</v>
      </c>
      <c r="M9" s="30">
        <v>7</v>
      </c>
      <c r="N9" s="30">
        <v>8</v>
      </c>
      <c r="O9" s="30">
        <v>17</v>
      </c>
      <c r="P9" s="30">
        <v>8</v>
      </c>
      <c r="Q9" s="31">
        <v>7.0000000000000007E-2</v>
      </c>
      <c r="R9" s="29"/>
      <c r="S9" s="30">
        <v>11</v>
      </c>
      <c r="T9" s="29"/>
      <c r="U9" s="29"/>
      <c r="V9" s="29"/>
      <c r="W9" s="31">
        <v>0.7</v>
      </c>
      <c r="X9" s="29"/>
      <c r="Y9" s="29"/>
      <c r="Z9" s="30">
        <v>20</v>
      </c>
      <c r="AA9" s="29"/>
      <c r="AB9" s="29"/>
      <c r="AC9" s="29"/>
    </row>
    <row r="10" spans="1:29" x14ac:dyDescent="0.3">
      <c r="A10" s="36" t="s">
        <v>421</v>
      </c>
      <c r="B10" s="31">
        <v>0.9</v>
      </c>
      <c r="C10" s="30">
        <v>9</v>
      </c>
      <c r="D10" s="29"/>
      <c r="E10" s="30">
        <v>8</v>
      </c>
      <c r="F10" s="29"/>
      <c r="G10" s="36">
        <v>8</v>
      </c>
      <c r="H10" s="29"/>
      <c r="I10" s="29"/>
      <c r="J10" s="29"/>
      <c r="K10" s="29"/>
      <c r="L10" s="30">
        <v>9</v>
      </c>
      <c r="M10" s="30">
        <v>8</v>
      </c>
      <c r="N10" s="30">
        <v>9</v>
      </c>
      <c r="O10" s="30">
        <v>18</v>
      </c>
      <c r="P10" s="30">
        <v>9</v>
      </c>
      <c r="Q10" s="31">
        <v>0.08</v>
      </c>
      <c r="R10" s="29"/>
      <c r="S10" s="30">
        <v>12</v>
      </c>
      <c r="T10" s="29"/>
      <c r="U10" s="29"/>
      <c r="V10" s="29"/>
      <c r="W10" s="31">
        <v>0.8</v>
      </c>
      <c r="X10" s="29"/>
      <c r="Y10" s="29"/>
      <c r="Z10" s="36">
        <v>27</v>
      </c>
      <c r="AA10" s="29"/>
      <c r="AB10" s="29"/>
      <c r="AC10" s="29"/>
    </row>
    <row r="11" spans="1:29" x14ac:dyDescent="0.3">
      <c r="A11" s="29"/>
      <c r="B11" s="37">
        <v>1</v>
      </c>
      <c r="C11" s="36">
        <v>10</v>
      </c>
      <c r="D11" s="29"/>
      <c r="E11" s="30">
        <v>9</v>
      </c>
      <c r="F11" s="29"/>
      <c r="G11" s="29"/>
      <c r="H11" s="29"/>
      <c r="I11" s="29"/>
      <c r="J11" s="29"/>
      <c r="K11" s="29"/>
      <c r="L11" s="30">
        <v>10</v>
      </c>
      <c r="M11" s="30">
        <v>9</v>
      </c>
      <c r="N11" s="36">
        <v>10</v>
      </c>
      <c r="O11" s="30">
        <v>19</v>
      </c>
      <c r="P11" s="36">
        <v>10</v>
      </c>
      <c r="Q11" s="37">
        <v>0.09</v>
      </c>
      <c r="R11" s="29"/>
      <c r="S11" s="30">
        <v>13</v>
      </c>
      <c r="T11" s="29"/>
      <c r="U11" s="29"/>
      <c r="V11" s="29"/>
      <c r="W11" s="31">
        <v>0.9</v>
      </c>
      <c r="X11" s="29"/>
      <c r="Y11" s="29"/>
      <c r="Z11" s="29"/>
      <c r="AA11" s="29"/>
      <c r="AB11" s="29"/>
      <c r="AC11" s="29"/>
    </row>
    <row r="12" spans="1:29" x14ac:dyDescent="0.3">
      <c r="A12" s="29"/>
      <c r="B12" s="29"/>
      <c r="C12" s="29"/>
      <c r="D12" s="29"/>
      <c r="E12" s="30">
        <v>10</v>
      </c>
      <c r="F12" s="29"/>
      <c r="G12" s="29"/>
      <c r="H12" s="29"/>
      <c r="I12" s="29"/>
      <c r="J12" s="29"/>
      <c r="K12" s="29"/>
      <c r="L12" s="36">
        <v>11</v>
      </c>
      <c r="M12" s="30">
        <v>10</v>
      </c>
      <c r="N12" s="29"/>
      <c r="O12" s="30">
        <v>20</v>
      </c>
      <c r="P12" s="29"/>
      <c r="Q12" s="29"/>
      <c r="R12" s="29"/>
      <c r="S12" s="30">
        <v>14</v>
      </c>
      <c r="T12" s="29"/>
      <c r="U12" s="29"/>
      <c r="V12" s="29"/>
      <c r="W12" s="37">
        <v>1</v>
      </c>
      <c r="X12" s="29"/>
      <c r="Y12" s="29"/>
      <c r="Z12" s="29"/>
      <c r="AA12" s="29"/>
      <c r="AB12" s="29"/>
      <c r="AC12" s="29"/>
    </row>
    <row r="13" spans="1:29" x14ac:dyDescent="0.3">
      <c r="A13" s="29"/>
      <c r="B13" s="29"/>
      <c r="C13" s="29"/>
      <c r="D13" s="29"/>
      <c r="E13" s="30">
        <v>11</v>
      </c>
      <c r="F13" s="29"/>
      <c r="G13" s="29"/>
      <c r="H13" s="29"/>
      <c r="I13" s="29"/>
      <c r="J13" s="29"/>
      <c r="K13" s="29"/>
      <c r="L13" s="29"/>
      <c r="M13" s="30">
        <v>11</v>
      </c>
      <c r="N13" s="29"/>
      <c r="O13" s="30">
        <v>21</v>
      </c>
      <c r="P13" s="29"/>
      <c r="Q13" s="29"/>
      <c r="R13" s="29"/>
      <c r="S13" s="30">
        <v>15</v>
      </c>
      <c r="T13" s="29"/>
      <c r="U13" s="29"/>
      <c r="V13" s="29"/>
      <c r="W13" s="29"/>
      <c r="X13" s="29"/>
      <c r="Y13" s="29"/>
      <c r="Z13" s="29"/>
      <c r="AA13" s="29"/>
      <c r="AB13" s="29"/>
      <c r="AC13" s="29"/>
    </row>
    <row r="14" spans="1:29" x14ac:dyDescent="0.3">
      <c r="A14" s="29"/>
      <c r="B14" s="29"/>
      <c r="C14" s="29"/>
      <c r="D14" s="29"/>
      <c r="E14" s="30">
        <v>12</v>
      </c>
      <c r="F14" s="29"/>
      <c r="G14" s="29"/>
      <c r="H14" s="29"/>
      <c r="I14" s="29"/>
      <c r="J14" s="29"/>
      <c r="K14" s="29"/>
      <c r="L14" s="29"/>
      <c r="M14" s="30">
        <v>12</v>
      </c>
      <c r="N14" s="29"/>
      <c r="O14" s="30">
        <v>22</v>
      </c>
      <c r="P14" s="29"/>
      <c r="Q14" s="29"/>
      <c r="R14" s="29"/>
      <c r="S14" s="30">
        <v>16</v>
      </c>
      <c r="T14" s="29"/>
      <c r="U14" s="29"/>
      <c r="V14" s="29"/>
      <c r="W14" s="29"/>
      <c r="X14" s="29"/>
      <c r="Y14" s="29"/>
      <c r="Z14" s="29"/>
      <c r="AA14" s="29"/>
      <c r="AB14" s="29"/>
      <c r="AC14" s="29"/>
    </row>
    <row r="15" spans="1:29" x14ac:dyDescent="0.3">
      <c r="A15" s="29"/>
      <c r="B15" s="29"/>
      <c r="C15" s="29"/>
      <c r="D15" s="29"/>
      <c r="E15" s="30">
        <v>13</v>
      </c>
      <c r="F15" s="29"/>
      <c r="G15" s="29"/>
      <c r="H15" s="29"/>
      <c r="I15" s="29"/>
      <c r="J15" s="29"/>
      <c r="K15" s="29"/>
      <c r="L15" s="29"/>
      <c r="M15" s="30">
        <v>13</v>
      </c>
      <c r="N15" s="29"/>
      <c r="O15" s="30">
        <v>23</v>
      </c>
      <c r="P15" s="29"/>
      <c r="Q15" s="29"/>
      <c r="R15" s="29"/>
      <c r="S15" s="30">
        <v>17</v>
      </c>
      <c r="T15" s="29"/>
      <c r="U15" s="29"/>
      <c r="V15" s="29"/>
      <c r="W15" s="29"/>
      <c r="X15" s="29"/>
      <c r="Y15" s="29"/>
      <c r="Z15" s="29"/>
      <c r="AA15" s="29"/>
      <c r="AB15" s="29"/>
      <c r="AC15" s="29"/>
    </row>
    <row r="16" spans="1:29" x14ac:dyDescent="0.3">
      <c r="A16" s="29"/>
      <c r="B16" s="29"/>
      <c r="C16" s="29"/>
      <c r="D16" s="29"/>
      <c r="E16" s="30">
        <v>14</v>
      </c>
      <c r="F16" s="29"/>
      <c r="G16" s="29"/>
      <c r="H16" s="29"/>
      <c r="I16" s="29"/>
      <c r="J16" s="29"/>
      <c r="K16" s="29"/>
      <c r="L16" s="29"/>
      <c r="M16" s="30">
        <v>14</v>
      </c>
      <c r="N16" s="29"/>
      <c r="O16" s="30">
        <v>24</v>
      </c>
      <c r="P16" s="29"/>
      <c r="Q16" s="29"/>
      <c r="R16" s="29"/>
      <c r="S16" s="30">
        <v>18</v>
      </c>
      <c r="T16" s="29"/>
      <c r="U16" s="29"/>
      <c r="V16" s="29"/>
      <c r="W16" s="29"/>
      <c r="X16" s="29"/>
      <c r="Y16" s="29"/>
      <c r="Z16" s="29"/>
      <c r="AA16" s="29"/>
      <c r="AB16" s="29"/>
      <c r="AC16" s="29"/>
    </row>
    <row r="17" spans="1:29" x14ac:dyDescent="0.3">
      <c r="A17" s="29"/>
      <c r="B17" s="29"/>
      <c r="C17" s="29"/>
      <c r="D17" s="29"/>
      <c r="E17" s="30">
        <v>15</v>
      </c>
      <c r="F17" s="29"/>
      <c r="G17" s="29"/>
      <c r="H17" s="29"/>
      <c r="I17" s="29"/>
      <c r="J17" s="29"/>
      <c r="K17" s="29"/>
      <c r="L17" s="29"/>
      <c r="M17" s="30">
        <v>15</v>
      </c>
      <c r="N17" s="29"/>
      <c r="O17" s="30">
        <v>25</v>
      </c>
      <c r="P17" s="29"/>
      <c r="Q17" s="29"/>
      <c r="R17" s="29"/>
      <c r="S17" s="30">
        <v>19</v>
      </c>
      <c r="T17" s="29"/>
      <c r="U17" s="29"/>
      <c r="V17" s="29"/>
      <c r="W17" s="29"/>
      <c r="X17" s="29"/>
      <c r="Y17" s="29"/>
      <c r="Z17" s="29"/>
      <c r="AA17" s="29"/>
      <c r="AB17" s="29"/>
      <c r="AC17" s="29"/>
    </row>
    <row r="18" spans="1:29" x14ac:dyDescent="0.3">
      <c r="A18" s="29"/>
      <c r="B18" s="29"/>
      <c r="C18" s="29"/>
      <c r="D18" s="29"/>
      <c r="E18" s="36">
        <v>16</v>
      </c>
      <c r="F18" s="29"/>
      <c r="G18" s="29"/>
      <c r="H18" s="29"/>
      <c r="I18" s="29"/>
      <c r="J18" s="29"/>
      <c r="K18" s="29"/>
      <c r="L18" s="29"/>
      <c r="M18" s="30">
        <v>16</v>
      </c>
      <c r="N18" s="29"/>
      <c r="O18" s="30">
        <v>26</v>
      </c>
      <c r="P18" s="29"/>
      <c r="Q18" s="29"/>
      <c r="R18" s="29"/>
      <c r="S18" s="36">
        <v>20</v>
      </c>
      <c r="T18" s="29"/>
      <c r="U18" s="29"/>
      <c r="V18" s="29"/>
      <c r="W18" s="29"/>
      <c r="X18" s="29"/>
      <c r="Y18" s="29"/>
      <c r="Z18" s="29"/>
      <c r="AA18" s="29"/>
      <c r="AB18" s="29"/>
      <c r="AC18" s="29"/>
    </row>
    <row r="19" spans="1:29" x14ac:dyDescent="0.3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30">
        <v>17</v>
      </c>
      <c r="N19" s="29"/>
      <c r="O19" s="30">
        <v>27</v>
      </c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</row>
    <row r="20" spans="1:29" x14ac:dyDescent="0.3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30">
        <v>18</v>
      </c>
      <c r="N20" s="29"/>
      <c r="O20" s="30">
        <v>28</v>
      </c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</row>
    <row r="21" spans="1:29" x14ac:dyDescent="0.3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30">
        <v>19</v>
      </c>
      <c r="N21" s="29"/>
      <c r="O21" s="30">
        <v>29</v>
      </c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</row>
    <row r="22" spans="1:29" x14ac:dyDescent="0.3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36">
        <v>20</v>
      </c>
      <c r="N22" s="29"/>
      <c r="O22" s="30">
        <v>30</v>
      </c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</row>
    <row r="23" spans="1:29" x14ac:dyDescent="0.3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36">
        <v>31</v>
      </c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A7B6D-53E0-4DD1-9824-52D789C82CB1}">
  <sheetPr>
    <tabColor theme="0" tint="-0.249977111117893"/>
  </sheetPr>
  <dimension ref="A1:Q12"/>
  <sheetViews>
    <sheetView zoomScale="72" workbookViewId="0">
      <selection activeCell="K22" sqref="K22"/>
    </sheetView>
  </sheetViews>
  <sheetFormatPr defaultRowHeight="14.4" x14ac:dyDescent="0.3"/>
  <cols>
    <col min="9" max="9" width="14.5546875" bestFit="1" customWidth="1"/>
    <col min="10" max="10" width="13.6640625" bestFit="1" customWidth="1"/>
    <col min="11" max="11" width="15.109375" customWidth="1"/>
    <col min="12" max="12" width="20.6640625" bestFit="1" customWidth="1"/>
    <col min="13" max="13" width="22.6640625" bestFit="1" customWidth="1"/>
    <col min="14" max="14" width="28.88671875" bestFit="1" customWidth="1"/>
    <col min="15" max="15" width="12" bestFit="1" customWidth="1"/>
  </cols>
  <sheetData>
    <row r="1" spans="1:17" x14ac:dyDescent="0.3">
      <c r="A1" t="s">
        <v>59</v>
      </c>
      <c r="B1" t="s">
        <v>422</v>
      </c>
      <c r="C1" t="s">
        <v>423</v>
      </c>
      <c r="D1" t="s">
        <v>424</v>
      </c>
      <c r="E1" t="s">
        <v>425</v>
      </c>
      <c r="F1" t="s">
        <v>426</v>
      </c>
      <c r="G1" t="s">
        <v>427</v>
      </c>
      <c r="H1" t="s">
        <v>428</v>
      </c>
      <c r="I1" t="s">
        <v>429</v>
      </c>
      <c r="J1" t="s">
        <v>430</v>
      </c>
      <c r="K1" t="s">
        <v>431</v>
      </c>
      <c r="L1" t="s">
        <v>432</v>
      </c>
      <c r="M1" t="s">
        <v>433</v>
      </c>
      <c r="N1" t="s">
        <v>434</v>
      </c>
      <c r="Q1" s="165" t="s">
        <v>435</v>
      </c>
    </row>
    <row r="2" spans="1:17" x14ac:dyDescent="0.3">
      <c r="A2">
        <v>2017</v>
      </c>
      <c r="B2">
        <v>6.6</v>
      </c>
      <c r="C2">
        <v>6.3</v>
      </c>
      <c r="D2">
        <v>6.1</v>
      </c>
      <c r="E2">
        <v>5.3</v>
      </c>
      <c r="F2">
        <v>5.4</v>
      </c>
      <c r="G2">
        <v>5.0999999999999996</v>
      </c>
      <c r="H2">
        <v>4.5999999999999996</v>
      </c>
      <c r="I2">
        <v>4.8</v>
      </c>
      <c r="J2">
        <v>5.0999999999999996</v>
      </c>
      <c r="K2">
        <v>4.8</v>
      </c>
      <c r="L2">
        <v>4.5999999999999996</v>
      </c>
      <c r="M2">
        <v>4.7</v>
      </c>
      <c r="N2">
        <v>5.3</v>
      </c>
      <c r="O2" s="10">
        <f>AVERAGE(B2:M2)</f>
        <v>5.2833333333333341</v>
      </c>
    </row>
    <row r="3" spans="1:17" x14ac:dyDescent="0.3">
      <c r="A3">
        <v>2018</v>
      </c>
      <c r="B3">
        <v>4.4000000000000004</v>
      </c>
      <c r="C3">
        <v>4</v>
      </c>
      <c r="D3">
        <v>3.8</v>
      </c>
      <c r="E3">
        <v>4.5</v>
      </c>
      <c r="F3">
        <v>4.4000000000000004</v>
      </c>
      <c r="G3">
        <v>4.5999999999999996</v>
      </c>
      <c r="H3">
        <v>5.0999999999999996</v>
      </c>
      <c r="I3">
        <v>4.9000000000000004</v>
      </c>
      <c r="J3">
        <v>4.9000000000000004</v>
      </c>
      <c r="K3">
        <v>5.0999999999999996</v>
      </c>
      <c r="L3">
        <v>5.2</v>
      </c>
      <c r="M3">
        <v>4.5</v>
      </c>
      <c r="N3">
        <v>4.7</v>
      </c>
      <c r="O3" s="10">
        <f t="shared" ref="O3:O9" si="0">AVERAGE(B3:M3)</f>
        <v>4.6166666666666671</v>
      </c>
    </row>
    <row r="4" spans="1:17" x14ac:dyDescent="0.3">
      <c r="A4">
        <v>2019</v>
      </c>
      <c r="B4">
        <v>4</v>
      </c>
      <c r="C4">
        <v>4.0999999999999996</v>
      </c>
      <c r="D4">
        <v>4.5</v>
      </c>
      <c r="E4">
        <v>4.4000000000000004</v>
      </c>
      <c r="F4">
        <v>4.5</v>
      </c>
      <c r="G4">
        <v>4.5</v>
      </c>
      <c r="H4">
        <v>4</v>
      </c>
      <c r="I4">
        <v>4.3</v>
      </c>
      <c r="J4">
        <v>4.0999999999999996</v>
      </c>
      <c r="K4">
        <v>3.7</v>
      </c>
      <c r="L4">
        <v>3.6</v>
      </c>
      <c r="M4">
        <v>4</v>
      </c>
      <c r="N4">
        <v>4.0999999999999996</v>
      </c>
      <c r="O4" s="10">
        <f t="shared" si="0"/>
        <v>4.1416666666666666</v>
      </c>
    </row>
    <row r="5" spans="1:17" x14ac:dyDescent="0.3">
      <c r="A5">
        <v>2020</v>
      </c>
      <c r="B5">
        <v>4.5</v>
      </c>
      <c r="C5">
        <v>4.5999999999999996</v>
      </c>
      <c r="D5">
        <v>4.0999999999999996</v>
      </c>
      <c r="E5">
        <v>3</v>
      </c>
      <c r="F5">
        <v>2.1</v>
      </c>
      <c r="G5">
        <v>2.2000000000000002</v>
      </c>
      <c r="H5">
        <v>3.2</v>
      </c>
      <c r="I5">
        <v>3.1</v>
      </c>
      <c r="J5">
        <v>3</v>
      </c>
      <c r="K5">
        <v>3.3</v>
      </c>
      <c r="L5">
        <v>3.2</v>
      </c>
      <c r="M5">
        <v>3.1</v>
      </c>
      <c r="N5">
        <v>3.3</v>
      </c>
      <c r="O5" s="10">
        <f t="shared" si="0"/>
        <v>3.2833333333333337</v>
      </c>
      <c r="P5">
        <v>1</v>
      </c>
    </row>
    <row r="6" spans="1:17" x14ac:dyDescent="0.3">
      <c r="A6">
        <v>2021</v>
      </c>
      <c r="B6">
        <v>3.2</v>
      </c>
      <c r="C6">
        <v>2.9</v>
      </c>
      <c r="D6">
        <v>3.2</v>
      </c>
      <c r="E6">
        <v>4.4000000000000004</v>
      </c>
      <c r="F6">
        <v>5.2</v>
      </c>
      <c r="G6">
        <v>4.9000000000000004</v>
      </c>
      <c r="H6">
        <v>4.5999999999999996</v>
      </c>
      <c r="I6">
        <v>4.9000000000000004</v>
      </c>
      <c r="J6">
        <v>5</v>
      </c>
      <c r="K6">
        <v>5</v>
      </c>
      <c r="L6">
        <v>5.5</v>
      </c>
      <c r="M6">
        <v>5.9</v>
      </c>
      <c r="N6">
        <v>4.5</v>
      </c>
      <c r="O6" s="10">
        <f t="shared" si="0"/>
        <v>4.5583333333333336</v>
      </c>
      <c r="P6" s="11">
        <f t="shared" ref="P6:P12" si="1">P5*(1+N6/100)</f>
        <v>1.0449999999999999</v>
      </c>
    </row>
    <row r="7" spans="1:17" x14ac:dyDescent="0.3">
      <c r="A7">
        <v>2022</v>
      </c>
      <c r="B7">
        <v>5.7</v>
      </c>
      <c r="C7">
        <v>5.7</v>
      </c>
      <c r="D7">
        <v>5.9</v>
      </c>
      <c r="E7">
        <v>5.9</v>
      </c>
      <c r="F7">
        <v>6.5</v>
      </c>
      <c r="G7">
        <v>7.4</v>
      </c>
      <c r="H7">
        <v>7.8</v>
      </c>
      <c r="I7">
        <v>7.6</v>
      </c>
      <c r="J7">
        <v>7.5</v>
      </c>
      <c r="K7">
        <v>7.6</v>
      </c>
      <c r="L7">
        <v>7.4</v>
      </c>
      <c r="M7">
        <v>7.2</v>
      </c>
      <c r="N7">
        <v>6.9</v>
      </c>
      <c r="O7" s="10">
        <f t="shared" si="0"/>
        <v>6.8500000000000005</v>
      </c>
      <c r="P7" s="11">
        <f t="shared" si="1"/>
        <v>1.1171049999999998</v>
      </c>
    </row>
    <row r="8" spans="1:17" x14ac:dyDescent="0.3">
      <c r="A8">
        <v>2023</v>
      </c>
      <c r="B8">
        <v>6.9</v>
      </c>
      <c r="C8">
        <v>7</v>
      </c>
      <c r="D8">
        <v>7.1</v>
      </c>
      <c r="E8">
        <v>6.8</v>
      </c>
      <c r="F8">
        <v>6.3</v>
      </c>
      <c r="G8">
        <v>5.4</v>
      </c>
      <c r="H8">
        <v>4.7</v>
      </c>
      <c r="I8">
        <v>4.8</v>
      </c>
      <c r="J8">
        <v>5.4</v>
      </c>
      <c r="K8">
        <v>5.9</v>
      </c>
      <c r="L8">
        <v>5.5</v>
      </c>
      <c r="M8">
        <v>5.0999999999999996</v>
      </c>
      <c r="N8">
        <v>6</v>
      </c>
      <c r="O8" s="10">
        <f t="shared" si="0"/>
        <v>5.9083333333333323</v>
      </c>
      <c r="P8" s="11">
        <f t="shared" si="1"/>
        <v>1.1841312999999998</v>
      </c>
    </row>
    <row r="9" spans="1:17" x14ac:dyDescent="0.3">
      <c r="A9">
        <v>2024</v>
      </c>
      <c r="B9">
        <v>5.3</v>
      </c>
      <c r="C9">
        <v>5.6</v>
      </c>
      <c r="D9">
        <v>5.3</v>
      </c>
      <c r="E9">
        <v>5.2</v>
      </c>
      <c r="F9">
        <v>5.2</v>
      </c>
      <c r="G9">
        <v>5.0999999999999996</v>
      </c>
      <c r="H9">
        <v>4.5999999999999996</v>
      </c>
      <c r="I9">
        <v>4.4000000000000004</v>
      </c>
      <c r="J9">
        <v>3.8</v>
      </c>
      <c r="K9">
        <v>2.8</v>
      </c>
      <c r="L9">
        <v>2.9</v>
      </c>
      <c r="M9" s="12">
        <v>2.9</v>
      </c>
      <c r="N9" s="12">
        <v>4.4000000000000004</v>
      </c>
      <c r="O9" s="10">
        <f t="shared" si="0"/>
        <v>4.4249999999999989</v>
      </c>
      <c r="P9" s="11">
        <f t="shared" si="1"/>
        <v>1.2362330771999999</v>
      </c>
      <c r="Q9" t="s">
        <v>436</v>
      </c>
    </row>
    <row r="10" spans="1:17" x14ac:dyDescent="0.3">
      <c r="A10" s="99">
        <v>2025</v>
      </c>
      <c r="N10" s="12">
        <v>4.4000000000000004</v>
      </c>
      <c r="P10" s="11">
        <f t="shared" si="1"/>
        <v>1.2906273325967998</v>
      </c>
      <c r="Q10" t="s">
        <v>437</v>
      </c>
    </row>
    <row r="11" spans="1:17" x14ac:dyDescent="0.3">
      <c r="A11" s="99">
        <v>2026</v>
      </c>
      <c r="N11" s="99">
        <v>4.5</v>
      </c>
      <c r="P11" s="11">
        <f t="shared" si="1"/>
        <v>1.3487055625636557</v>
      </c>
    </row>
    <row r="12" spans="1:17" x14ac:dyDescent="0.3">
      <c r="A12" s="99">
        <v>2027</v>
      </c>
      <c r="N12" s="99">
        <v>4.5</v>
      </c>
      <c r="P12" s="11">
        <f t="shared" si="1"/>
        <v>1.40939731287902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8381C-3962-4F7F-A171-023A587A4579}">
  <dimension ref="B1:L21"/>
  <sheetViews>
    <sheetView showGridLines="0" workbookViewId="0">
      <selection activeCell="I24" sqref="I24"/>
    </sheetView>
  </sheetViews>
  <sheetFormatPr defaultRowHeight="14.4" x14ac:dyDescent="0.3"/>
  <cols>
    <col min="1" max="1" width="3.33203125" customWidth="1"/>
    <col min="2" max="2" width="22.5546875" customWidth="1"/>
    <col min="3" max="5" width="15" customWidth="1"/>
    <col min="6" max="6" width="2.33203125" customWidth="1"/>
    <col min="7" max="7" width="15" customWidth="1"/>
    <col min="9" max="9" width="30.33203125" customWidth="1"/>
    <col min="10" max="10" width="8.88671875" customWidth="1"/>
    <col min="11" max="11" width="14.33203125" customWidth="1"/>
    <col min="12" max="12" width="19.33203125" customWidth="1"/>
  </cols>
  <sheetData>
    <row r="1" spans="2:12" x14ac:dyDescent="0.3">
      <c r="C1" s="73" t="s">
        <v>438</v>
      </c>
      <c r="D1" s="73"/>
      <c r="E1" s="73"/>
    </row>
    <row r="2" spans="2:12" x14ac:dyDescent="0.3">
      <c r="B2" s="100"/>
      <c r="C2" s="108" t="s">
        <v>439</v>
      </c>
      <c r="D2" s="108" t="s">
        <v>440</v>
      </c>
      <c r="E2" s="108" t="s">
        <v>441</v>
      </c>
      <c r="F2" s="108"/>
      <c r="G2" s="108" t="s">
        <v>442</v>
      </c>
    </row>
    <row r="3" spans="2:12" x14ac:dyDescent="0.3">
      <c r="B3" s="13" t="s">
        <v>443</v>
      </c>
      <c r="C3" s="106">
        <v>9798106</v>
      </c>
      <c r="D3" s="106">
        <v>10314252</v>
      </c>
      <c r="E3" s="106">
        <v>10786318</v>
      </c>
      <c r="G3" t="s">
        <v>444</v>
      </c>
    </row>
    <row r="4" spans="2:12" x14ac:dyDescent="0.3">
      <c r="B4" s="13" t="s">
        <v>445</v>
      </c>
      <c r="C4" s="107">
        <f>C3/(C7/100)</f>
        <v>10239020.77</v>
      </c>
      <c r="D4" s="107">
        <f>D3/(D7/100)</f>
        <v>10314252</v>
      </c>
      <c r="E4" s="107">
        <f>E3/(E7/100)</f>
        <v>10321835.406698566</v>
      </c>
      <c r="G4" s="107">
        <f>SUM(C4:E4)</f>
        <v>30875108.176698565</v>
      </c>
    </row>
    <row r="6" spans="2:12" x14ac:dyDescent="0.3">
      <c r="B6" s="103" t="s">
        <v>446</v>
      </c>
      <c r="C6" s="103"/>
      <c r="D6" s="103">
        <f>'Inflation ZAR'!N11</f>
        <v>4.5</v>
      </c>
      <c r="E6" s="103">
        <f>'Inflation ZAR'!N12</f>
        <v>4.5</v>
      </c>
      <c r="F6" s="55"/>
      <c r="G6" s="55"/>
    </row>
    <row r="7" spans="2:12" x14ac:dyDescent="0.3">
      <c r="B7" s="104" t="s">
        <v>447</v>
      </c>
      <c r="C7" s="105">
        <f>D7/(1+D6/100)</f>
        <v>95.693779904306226</v>
      </c>
      <c r="D7" s="104">
        <v>100</v>
      </c>
      <c r="E7" s="104">
        <f>D7*(1+E6/100)</f>
        <v>104.5</v>
      </c>
    </row>
    <row r="11" spans="2:12" x14ac:dyDescent="0.3">
      <c r="B11" s="101" t="s">
        <v>448</v>
      </c>
      <c r="C11" s="101" t="s">
        <v>449</v>
      </c>
      <c r="D11" s="101" t="s">
        <v>450</v>
      </c>
      <c r="E11" s="102" t="s">
        <v>451</v>
      </c>
      <c r="F11" s="101"/>
      <c r="G11" s="101"/>
      <c r="H11" s="101"/>
      <c r="I11" s="101"/>
      <c r="J11" s="101"/>
      <c r="K11" s="101"/>
      <c r="L11" s="101"/>
    </row>
    <row r="14" spans="2:12" x14ac:dyDescent="0.3">
      <c r="B14" s="109" t="s">
        <v>452</v>
      </c>
      <c r="C14" s="109"/>
      <c r="D14" s="109"/>
      <c r="E14" s="109"/>
    </row>
    <row r="16" spans="2:12" x14ac:dyDescent="0.3">
      <c r="B16" s="110"/>
      <c r="C16" s="110"/>
      <c r="D16" s="112" t="s">
        <v>453</v>
      </c>
      <c r="E16" s="112" t="s">
        <v>454</v>
      </c>
    </row>
    <row r="17" spans="2:5" x14ac:dyDescent="0.3">
      <c r="B17" t="s">
        <v>455</v>
      </c>
      <c r="C17">
        <v>3.2</v>
      </c>
      <c r="D17" s="106">
        <f>C17*D$21</f>
        <v>3200000000</v>
      </c>
      <c r="E17" s="106">
        <f>D17/E$20</f>
        <v>172972972.97297296</v>
      </c>
    </row>
    <row r="18" spans="2:5" x14ac:dyDescent="0.3">
      <c r="B18" s="69" t="s">
        <v>456</v>
      </c>
      <c r="C18" s="69">
        <v>31</v>
      </c>
      <c r="D18" s="111">
        <f>G4*1000</f>
        <v>30875108176.698566</v>
      </c>
      <c r="E18" s="111">
        <f>D18/E$20</f>
        <v>1668924766.3080306</v>
      </c>
    </row>
    <row r="20" spans="2:5" x14ac:dyDescent="0.3">
      <c r="B20" t="s">
        <v>457</v>
      </c>
      <c r="E20" s="13">
        <v>18.5</v>
      </c>
    </row>
    <row r="21" spans="2:5" x14ac:dyDescent="0.3">
      <c r="B21" s="69" t="s">
        <v>458</v>
      </c>
      <c r="C21" s="69"/>
      <c r="D21" s="111">
        <v>1000000000</v>
      </c>
      <c r="E21" s="69"/>
    </row>
  </sheetData>
  <hyperlinks>
    <hyperlink ref="E11" r:id="rId1" xr:uid="{95B796F6-FEC7-447A-86B9-0F3ED22A1E5A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BD655-A290-44D7-9060-7120D40693C3}">
  <sheetPr>
    <tabColor theme="0" tint="-0.249977111117893"/>
  </sheetPr>
  <dimension ref="A1:L1000"/>
  <sheetViews>
    <sheetView workbookViewId="0">
      <selection activeCell="I24" sqref="I24"/>
    </sheetView>
  </sheetViews>
  <sheetFormatPr defaultColWidth="9.6640625" defaultRowHeight="14.4" x14ac:dyDescent="0.3"/>
  <cols>
    <col min="1" max="1" width="18.88671875" style="2" customWidth="1"/>
    <col min="2" max="2" width="9.6640625" style="2" customWidth="1"/>
    <col min="3" max="3" width="22.88671875" style="2" bestFit="1" customWidth="1"/>
    <col min="4" max="4" width="11.109375" style="2" customWidth="1"/>
    <col min="5" max="5" width="10" style="2" customWidth="1"/>
    <col min="6" max="6" width="17.5546875" style="2" customWidth="1"/>
    <col min="7" max="7" width="9.88671875" style="2" customWidth="1"/>
    <col min="8" max="9" width="12.88671875" style="2" customWidth="1"/>
    <col min="10" max="10" width="17.88671875" style="2" bestFit="1" customWidth="1"/>
    <col min="11" max="11" width="18.5546875" style="2" bestFit="1" customWidth="1"/>
    <col min="12" max="16384" width="9.6640625" style="2"/>
  </cols>
  <sheetData>
    <row r="1" spans="1:11" ht="15" thickBot="1" x14ac:dyDescent="0.35">
      <c r="A1" s="14" t="s">
        <v>371</v>
      </c>
      <c r="B1" s="14" t="s">
        <v>459</v>
      </c>
      <c r="C1" s="14" t="s">
        <v>460</v>
      </c>
      <c r="D1" s="14" t="s">
        <v>461</v>
      </c>
      <c r="E1" s="14" t="s">
        <v>462</v>
      </c>
      <c r="F1" s="14" t="s">
        <v>463</v>
      </c>
      <c r="G1" s="14" t="s">
        <v>464</v>
      </c>
      <c r="H1" s="14" t="s">
        <v>465</v>
      </c>
      <c r="I1" s="14" t="s">
        <v>466</v>
      </c>
      <c r="J1" s="14" t="s">
        <v>467</v>
      </c>
      <c r="K1" s="14" t="s">
        <v>468</v>
      </c>
    </row>
    <row r="2" spans="1:11" x14ac:dyDescent="0.3">
      <c r="A2" s="15" t="s">
        <v>395</v>
      </c>
      <c r="B2" s="15">
        <v>1</v>
      </c>
      <c r="C2" s="15" t="s">
        <v>469</v>
      </c>
      <c r="D2" s="15">
        <v>1</v>
      </c>
      <c r="E2" s="15">
        <v>1</v>
      </c>
      <c r="F2" s="15">
        <v>5736</v>
      </c>
      <c r="G2" s="16">
        <v>32.99</v>
      </c>
      <c r="H2" s="15">
        <f>ROUNDUP(F2/G2,0)</f>
        <v>174</v>
      </c>
      <c r="I2" s="15">
        <v>119</v>
      </c>
      <c r="J2" s="15" t="b">
        <v>1</v>
      </c>
      <c r="K2" s="15" t="b">
        <v>1</v>
      </c>
    </row>
    <row r="3" spans="1:11" x14ac:dyDescent="0.3">
      <c r="A3" s="15" t="s">
        <v>395</v>
      </c>
      <c r="B3" s="15">
        <v>1</v>
      </c>
      <c r="C3" s="15" t="s">
        <v>469</v>
      </c>
      <c r="D3" s="15">
        <v>1</v>
      </c>
      <c r="E3" s="15">
        <v>2</v>
      </c>
      <c r="F3" s="15">
        <v>5221</v>
      </c>
      <c r="G3" s="16">
        <v>32.99</v>
      </c>
      <c r="H3" s="15">
        <f t="shared" ref="H3:H66" si="0">ROUNDUP(F3/G3,0)</f>
        <v>159</v>
      </c>
      <c r="I3" s="15">
        <v>119</v>
      </c>
      <c r="J3" s="15" t="b">
        <v>1</v>
      </c>
      <c r="K3" s="15" t="b">
        <v>1</v>
      </c>
    </row>
    <row r="4" spans="1:11" x14ac:dyDescent="0.3">
      <c r="A4" s="15" t="s">
        <v>395</v>
      </c>
      <c r="B4" s="15">
        <v>1</v>
      </c>
      <c r="C4" s="15" t="s">
        <v>469</v>
      </c>
      <c r="D4" s="15">
        <v>1</v>
      </c>
      <c r="E4" s="15">
        <v>3</v>
      </c>
      <c r="F4" s="15">
        <v>4865</v>
      </c>
      <c r="G4" s="16">
        <v>32.99</v>
      </c>
      <c r="H4" s="15">
        <f t="shared" si="0"/>
        <v>148</v>
      </c>
      <c r="I4" s="15">
        <v>119</v>
      </c>
      <c r="J4" s="15" t="b">
        <v>1</v>
      </c>
      <c r="K4" s="15" t="b">
        <v>1</v>
      </c>
    </row>
    <row r="5" spans="1:11" x14ac:dyDescent="0.3">
      <c r="A5" s="15" t="s">
        <v>395</v>
      </c>
      <c r="B5" s="15">
        <v>1</v>
      </c>
      <c r="C5" s="15" t="s">
        <v>469</v>
      </c>
      <c r="D5" s="15">
        <v>2</v>
      </c>
      <c r="E5" s="15">
        <v>1</v>
      </c>
      <c r="F5" s="15">
        <v>1774</v>
      </c>
      <c r="G5" s="16">
        <v>32.99</v>
      </c>
      <c r="H5" s="15">
        <f t="shared" si="0"/>
        <v>54</v>
      </c>
      <c r="I5" s="15">
        <v>24</v>
      </c>
      <c r="J5" s="15" t="b">
        <v>1</v>
      </c>
      <c r="K5" s="15" t="b">
        <v>1</v>
      </c>
    </row>
    <row r="6" spans="1:11" x14ac:dyDescent="0.3">
      <c r="A6" s="15" t="s">
        <v>395</v>
      </c>
      <c r="B6" s="15">
        <v>1</v>
      </c>
      <c r="C6" s="15" t="s">
        <v>469</v>
      </c>
      <c r="D6" s="15">
        <v>2</v>
      </c>
      <c r="E6" s="15">
        <v>2</v>
      </c>
      <c r="F6" s="15">
        <v>1623</v>
      </c>
      <c r="G6" s="16">
        <v>32.99</v>
      </c>
      <c r="H6" s="15">
        <f t="shared" si="0"/>
        <v>50</v>
      </c>
      <c r="I6" s="15">
        <v>24</v>
      </c>
      <c r="J6" s="15" t="b">
        <v>1</v>
      </c>
      <c r="K6" s="15" t="b">
        <v>1</v>
      </c>
    </row>
    <row r="7" spans="1:11" x14ac:dyDescent="0.3">
      <c r="A7" s="15" t="s">
        <v>395</v>
      </c>
      <c r="B7" s="15">
        <v>1</v>
      </c>
      <c r="C7" s="15" t="s">
        <v>469</v>
      </c>
      <c r="D7" s="15">
        <v>2</v>
      </c>
      <c r="E7" s="15">
        <v>3</v>
      </c>
      <c r="F7" s="15">
        <v>1522</v>
      </c>
      <c r="G7" s="16">
        <v>32.99</v>
      </c>
      <c r="H7" s="15">
        <f t="shared" si="0"/>
        <v>47</v>
      </c>
      <c r="I7" s="15">
        <v>24</v>
      </c>
      <c r="J7" s="15" t="b">
        <v>1</v>
      </c>
      <c r="K7" s="15" t="b">
        <v>1</v>
      </c>
    </row>
    <row r="8" spans="1:11" x14ac:dyDescent="0.3">
      <c r="A8" s="15" t="s">
        <v>395</v>
      </c>
      <c r="B8" s="15">
        <v>1</v>
      </c>
      <c r="C8" s="15" t="s">
        <v>469</v>
      </c>
      <c r="D8" s="15">
        <v>3</v>
      </c>
      <c r="E8" s="15">
        <v>1</v>
      </c>
      <c r="F8" s="15">
        <v>564</v>
      </c>
      <c r="G8" s="16">
        <v>32.99</v>
      </c>
      <c r="H8" s="15">
        <f t="shared" si="0"/>
        <v>18</v>
      </c>
      <c r="I8" s="15">
        <v>8</v>
      </c>
      <c r="J8" s="15" t="b">
        <v>1</v>
      </c>
      <c r="K8" s="15" t="b">
        <v>1</v>
      </c>
    </row>
    <row r="9" spans="1:11" x14ac:dyDescent="0.3">
      <c r="A9" s="15" t="s">
        <v>395</v>
      </c>
      <c r="B9" s="15">
        <v>1</v>
      </c>
      <c r="C9" s="15" t="s">
        <v>469</v>
      </c>
      <c r="D9" s="15">
        <v>3</v>
      </c>
      <c r="E9" s="15">
        <v>2</v>
      </c>
      <c r="F9" s="15">
        <v>565</v>
      </c>
      <c r="G9" s="16">
        <v>32.99</v>
      </c>
      <c r="H9" s="15">
        <f t="shared" si="0"/>
        <v>18</v>
      </c>
      <c r="I9" s="15">
        <v>8</v>
      </c>
      <c r="J9" s="15" t="b">
        <v>1</v>
      </c>
      <c r="K9" s="15" t="b">
        <v>1</v>
      </c>
    </row>
    <row r="10" spans="1:11" x14ac:dyDescent="0.3">
      <c r="A10" s="15" t="s">
        <v>395</v>
      </c>
      <c r="B10" s="15">
        <v>1</v>
      </c>
      <c r="C10" s="15" t="s">
        <v>469</v>
      </c>
      <c r="D10" s="15">
        <v>3</v>
      </c>
      <c r="E10" s="15">
        <v>3</v>
      </c>
      <c r="F10" s="15">
        <v>547</v>
      </c>
      <c r="G10" s="16">
        <v>32.99</v>
      </c>
      <c r="H10" s="15">
        <f t="shared" si="0"/>
        <v>17</v>
      </c>
      <c r="I10" s="15">
        <v>8</v>
      </c>
      <c r="J10" s="15" t="b">
        <v>1</v>
      </c>
      <c r="K10" s="15" t="b">
        <v>1</v>
      </c>
    </row>
    <row r="11" spans="1:11" x14ac:dyDescent="0.3">
      <c r="A11" s="15" t="s">
        <v>395</v>
      </c>
      <c r="B11" s="15">
        <v>1</v>
      </c>
      <c r="C11" s="15" t="s">
        <v>470</v>
      </c>
      <c r="D11" s="15">
        <v>1</v>
      </c>
      <c r="E11" s="15">
        <v>1</v>
      </c>
      <c r="F11" s="15">
        <v>4403</v>
      </c>
      <c r="G11" s="16">
        <v>30.48</v>
      </c>
      <c r="H11" s="15">
        <f t="shared" si="0"/>
        <v>145</v>
      </c>
      <c r="I11" s="15">
        <v>112</v>
      </c>
      <c r="J11" s="15" t="b">
        <v>1</v>
      </c>
      <c r="K11" s="15" t="b">
        <v>1</v>
      </c>
    </row>
    <row r="12" spans="1:11" x14ac:dyDescent="0.3">
      <c r="A12" s="15" t="s">
        <v>395</v>
      </c>
      <c r="B12" s="15">
        <v>1</v>
      </c>
      <c r="C12" s="15" t="s">
        <v>470</v>
      </c>
      <c r="D12" s="15">
        <v>1</v>
      </c>
      <c r="E12" s="15">
        <v>2</v>
      </c>
      <c r="F12" s="15">
        <v>4403</v>
      </c>
      <c r="G12" s="16">
        <v>30.48</v>
      </c>
      <c r="H12" s="15">
        <f t="shared" si="0"/>
        <v>145</v>
      </c>
      <c r="I12" s="15">
        <v>112</v>
      </c>
      <c r="J12" s="15" t="b">
        <v>1</v>
      </c>
      <c r="K12" s="15" t="b">
        <v>1</v>
      </c>
    </row>
    <row r="13" spans="1:11" x14ac:dyDescent="0.3">
      <c r="A13" s="15" t="s">
        <v>395</v>
      </c>
      <c r="B13" s="15">
        <v>1</v>
      </c>
      <c r="C13" s="15" t="s">
        <v>470</v>
      </c>
      <c r="D13" s="15">
        <v>1</v>
      </c>
      <c r="E13" s="15">
        <v>3</v>
      </c>
      <c r="F13" s="15">
        <v>4393</v>
      </c>
      <c r="G13" s="16">
        <v>30.48</v>
      </c>
      <c r="H13" s="15">
        <f t="shared" si="0"/>
        <v>145</v>
      </c>
      <c r="I13" s="15">
        <v>112</v>
      </c>
      <c r="J13" s="15" t="b">
        <v>1</v>
      </c>
      <c r="K13" s="15" t="b">
        <v>1</v>
      </c>
    </row>
    <row r="14" spans="1:11" x14ac:dyDescent="0.3">
      <c r="A14" s="15" t="s">
        <v>395</v>
      </c>
      <c r="B14" s="15">
        <v>1</v>
      </c>
      <c r="C14" s="15" t="s">
        <v>470</v>
      </c>
      <c r="D14" s="15">
        <v>2</v>
      </c>
      <c r="E14" s="15">
        <v>1</v>
      </c>
      <c r="F14" s="15">
        <v>3609</v>
      </c>
      <c r="G14" s="16">
        <v>30.48</v>
      </c>
      <c r="H14" s="15">
        <f t="shared" si="0"/>
        <v>119</v>
      </c>
      <c r="I14" s="15">
        <v>73</v>
      </c>
      <c r="J14" s="15" t="b">
        <v>1</v>
      </c>
      <c r="K14" s="15" t="b">
        <v>1</v>
      </c>
    </row>
    <row r="15" spans="1:11" x14ac:dyDescent="0.3">
      <c r="A15" s="15" t="s">
        <v>395</v>
      </c>
      <c r="B15" s="15">
        <v>1</v>
      </c>
      <c r="C15" s="15" t="s">
        <v>470</v>
      </c>
      <c r="D15" s="15">
        <v>2</v>
      </c>
      <c r="E15" s="15">
        <v>2</v>
      </c>
      <c r="F15" s="15">
        <v>3463</v>
      </c>
      <c r="G15" s="16">
        <v>30.48</v>
      </c>
      <c r="H15" s="15">
        <f t="shared" si="0"/>
        <v>114</v>
      </c>
      <c r="I15" s="15">
        <v>73</v>
      </c>
      <c r="J15" s="15" t="b">
        <v>1</v>
      </c>
      <c r="K15" s="15" t="b">
        <v>1</v>
      </c>
    </row>
    <row r="16" spans="1:11" x14ac:dyDescent="0.3">
      <c r="A16" s="15" t="s">
        <v>395</v>
      </c>
      <c r="B16" s="15">
        <v>1</v>
      </c>
      <c r="C16" s="15" t="s">
        <v>470</v>
      </c>
      <c r="D16" s="15">
        <v>2</v>
      </c>
      <c r="E16" s="15">
        <v>3</v>
      </c>
      <c r="F16" s="15">
        <v>3573</v>
      </c>
      <c r="G16" s="16">
        <v>30.48</v>
      </c>
      <c r="H16" s="15">
        <f t="shared" si="0"/>
        <v>118</v>
      </c>
      <c r="I16" s="15">
        <v>73</v>
      </c>
      <c r="J16" s="15" t="b">
        <v>1</v>
      </c>
      <c r="K16" s="15" t="b">
        <v>1</v>
      </c>
    </row>
    <row r="17" spans="1:11" x14ac:dyDescent="0.3">
      <c r="A17" s="15" t="s">
        <v>395</v>
      </c>
      <c r="B17" s="15">
        <v>1</v>
      </c>
      <c r="C17" s="15" t="s">
        <v>470</v>
      </c>
      <c r="D17" s="15">
        <v>3</v>
      </c>
      <c r="E17" s="15">
        <v>1</v>
      </c>
      <c r="F17" s="15">
        <v>1467</v>
      </c>
      <c r="G17" s="16">
        <v>30.48</v>
      </c>
      <c r="H17" s="15">
        <f t="shared" si="0"/>
        <v>49</v>
      </c>
      <c r="I17" s="15">
        <v>24</v>
      </c>
      <c r="J17" s="15" t="b">
        <v>1</v>
      </c>
      <c r="K17" s="15" t="b">
        <v>1</v>
      </c>
    </row>
    <row r="18" spans="1:11" x14ac:dyDescent="0.3">
      <c r="A18" s="15" t="s">
        <v>395</v>
      </c>
      <c r="B18" s="15">
        <v>1</v>
      </c>
      <c r="C18" s="15" t="s">
        <v>470</v>
      </c>
      <c r="D18" s="15">
        <v>3</v>
      </c>
      <c r="E18" s="15">
        <v>2</v>
      </c>
      <c r="F18" s="15">
        <v>1486</v>
      </c>
      <c r="G18" s="16">
        <v>30.48</v>
      </c>
      <c r="H18" s="15">
        <f t="shared" si="0"/>
        <v>49</v>
      </c>
      <c r="I18" s="15">
        <v>24</v>
      </c>
      <c r="J18" s="15" t="b">
        <v>1</v>
      </c>
      <c r="K18" s="15" t="b">
        <v>1</v>
      </c>
    </row>
    <row r="19" spans="1:11" x14ac:dyDescent="0.3">
      <c r="A19" s="15" t="s">
        <v>395</v>
      </c>
      <c r="B19" s="15">
        <v>1</v>
      </c>
      <c r="C19" s="15" t="s">
        <v>470</v>
      </c>
      <c r="D19" s="15">
        <v>3</v>
      </c>
      <c r="E19" s="15">
        <v>3</v>
      </c>
      <c r="F19" s="15">
        <v>1475</v>
      </c>
      <c r="G19" s="16">
        <v>30.48</v>
      </c>
      <c r="H19" s="15">
        <f t="shared" si="0"/>
        <v>49</v>
      </c>
      <c r="I19" s="15">
        <v>24</v>
      </c>
      <c r="J19" s="15" t="b">
        <v>1</v>
      </c>
      <c r="K19" s="15" t="b">
        <v>1</v>
      </c>
    </row>
    <row r="20" spans="1:11" x14ac:dyDescent="0.3">
      <c r="A20" s="15" t="s">
        <v>395</v>
      </c>
      <c r="B20" s="15">
        <v>1</v>
      </c>
      <c r="C20" s="15" t="s">
        <v>470</v>
      </c>
      <c r="D20" s="15">
        <v>4</v>
      </c>
      <c r="E20" s="15">
        <v>1</v>
      </c>
      <c r="F20" s="15">
        <v>196</v>
      </c>
      <c r="G20" s="16">
        <v>30.48</v>
      </c>
      <c r="H20" s="15">
        <f t="shared" si="0"/>
        <v>7</v>
      </c>
      <c r="I20" s="15">
        <v>2</v>
      </c>
      <c r="J20" s="15" t="b">
        <v>0</v>
      </c>
      <c r="K20" s="15" t="b">
        <v>1</v>
      </c>
    </row>
    <row r="21" spans="1:11" x14ac:dyDescent="0.3">
      <c r="A21" s="15" t="s">
        <v>395</v>
      </c>
      <c r="B21" s="15">
        <v>1</v>
      </c>
      <c r="C21" s="15" t="s">
        <v>470</v>
      </c>
      <c r="D21" s="15">
        <v>4</v>
      </c>
      <c r="E21" s="15">
        <v>2</v>
      </c>
      <c r="F21" s="15">
        <v>193</v>
      </c>
      <c r="G21" s="16">
        <v>30.48</v>
      </c>
      <c r="H21" s="15">
        <f t="shared" si="0"/>
        <v>7</v>
      </c>
      <c r="I21" s="15">
        <v>2</v>
      </c>
      <c r="J21" s="15" t="b">
        <v>0</v>
      </c>
      <c r="K21" s="15" t="b">
        <v>1</v>
      </c>
    </row>
    <row r="22" spans="1:11" x14ac:dyDescent="0.3">
      <c r="A22" s="15" t="s">
        <v>395</v>
      </c>
      <c r="B22" s="15">
        <v>1</v>
      </c>
      <c r="C22" s="15" t="s">
        <v>470</v>
      </c>
      <c r="D22" s="15">
        <v>4</v>
      </c>
      <c r="E22" s="15">
        <v>3</v>
      </c>
      <c r="F22" s="15">
        <v>175</v>
      </c>
      <c r="G22" s="16">
        <v>30.48</v>
      </c>
      <c r="H22" s="15">
        <f t="shared" si="0"/>
        <v>6</v>
      </c>
      <c r="I22" s="15">
        <v>2</v>
      </c>
      <c r="J22" s="15" t="b">
        <v>0</v>
      </c>
      <c r="K22" s="15" t="b">
        <v>1</v>
      </c>
    </row>
    <row r="23" spans="1:11" x14ac:dyDescent="0.3">
      <c r="A23" s="15" t="s">
        <v>395</v>
      </c>
      <c r="B23" s="15">
        <v>1</v>
      </c>
      <c r="C23" s="15" t="s">
        <v>471</v>
      </c>
      <c r="D23" s="15">
        <v>1</v>
      </c>
      <c r="E23" s="15">
        <v>1</v>
      </c>
      <c r="F23" s="15">
        <v>4335</v>
      </c>
      <c r="G23" s="16">
        <v>34.909999999999997</v>
      </c>
      <c r="H23" s="15">
        <f t="shared" si="0"/>
        <v>125</v>
      </c>
      <c r="I23" s="15">
        <v>106</v>
      </c>
      <c r="J23" s="15" t="b">
        <v>1</v>
      </c>
      <c r="K23" s="15" t="b">
        <v>1</v>
      </c>
    </row>
    <row r="24" spans="1:11" x14ac:dyDescent="0.3">
      <c r="A24" s="15" t="s">
        <v>395</v>
      </c>
      <c r="B24" s="15">
        <v>1</v>
      </c>
      <c r="C24" s="15" t="s">
        <v>471</v>
      </c>
      <c r="D24" s="15">
        <v>1</v>
      </c>
      <c r="E24" s="15">
        <v>2</v>
      </c>
      <c r="F24" s="15">
        <v>4240</v>
      </c>
      <c r="G24" s="16">
        <v>34.909999999999997</v>
      </c>
      <c r="H24" s="15">
        <f t="shared" si="0"/>
        <v>122</v>
      </c>
      <c r="I24" s="15">
        <v>106</v>
      </c>
      <c r="J24" s="15" t="b">
        <v>1</v>
      </c>
      <c r="K24" s="15" t="b">
        <v>1</v>
      </c>
    </row>
    <row r="25" spans="1:11" x14ac:dyDescent="0.3">
      <c r="A25" s="15" t="s">
        <v>395</v>
      </c>
      <c r="B25" s="15">
        <v>1</v>
      </c>
      <c r="C25" s="15" t="s">
        <v>471</v>
      </c>
      <c r="D25" s="15">
        <v>1</v>
      </c>
      <c r="E25" s="15">
        <v>3</v>
      </c>
      <c r="F25" s="15">
        <v>4095</v>
      </c>
      <c r="G25" s="16">
        <v>34.909999999999997</v>
      </c>
      <c r="H25" s="15">
        <f t="shared" si="0"/>
        <v>118</v>
      </c>
      <c r="I25" s="15">
        <v>106</v>
      </c>
      <c r="J25" s="15" t="b">
        <v>1</v>
      </c>
      <c r="K25" s="15" t="b">
        <v>1</v>
      </c>
    </row>
    <row r="26" spans="1:11" x14ac:dyDescent="0.3">
      <c r="A26" s="15" t="s">
        <v>395</v>
      </c>
      <c r="B26" s="15">
        <v>1</v>
      </c>
      <c r="C26" s="15" t="s">
        <v>471</v>
      </c>
      <c r="D26" s="15">
        <v>2</v>
      </c>
      <c r="E26" s="15">
        <v>1</v>
      </c>
      <c r="F26" s="15">
        <v>954</v>
      </c>
      <c r="G26" s="16">
        <v>34.909999999999997</v>
      </c>
      <c r="H26" s="15">
        <f t="shared" si="0"/>
        <v>28</v>
      </c>
      <c r="I26" s="15">
        <v>33</v>
      </c>
      <c r="J26" s="15" t="b">
        <v>1</v>
      </c>
      <c r="K26" s="15" t="b">
        <v>1</v>
      </c>
    </row>
    <row r="27" spans="1:11" x14ac:dyDescent="0.3">
      <c r="A27" s="15" t="s">
        <v>395</v>
      </c>
      <c r="B27" s="15">
        <v>1</v>
      </c>
      <c r="C27" s="15" t="s">
        <v>471</v>
      </c>
      <c r="D27" s="15">
        <v>2</v>
      </c>
      <c r="E27" s="15">
        <v>2</v>
      </c>
      <c r="F27" s="15">
        <v>861</v>
      </c>
      <c r="G27" s="16">
        <v>34.909999999999997</v>
      </c>
      <c r="H27" s="15">
        <f t="shared" si="0"/>
        <v>25</v>
      </c>
      <c r="I27" s="15">
        <v>33</v>
      </c>
      <c r="J27" s="15" t="b">
        <v>1</v>
      </c>
      <c r="K27" s="15" t="b">
        <v>1</v>
      </c>
    </row>
    <row r="28" spans="1:11" x14ac:dyDescent="0.3">
      <c r="A28" s="15" t="s">
        <v>395</v>
      </c>
      <c r="B28" s="15">
        <v>1</v>
      </c>
      <c r="C28" s="15" t="s">
        <v>471</v>
      </c>
      <c r="D28" s="15">
        <v>2</v>
      </c>
      <c r="E28" s="15">
        <v>3</v>
      </c>
      <c r="F28" s="15">
        <v>870</v>
      </c>
      <c r="G28" s="16">
        <v>34.909999999999997</v>
      </c>
      <c r="H28" s="15">
        <f t="shared" si="0"/>
        <v>25</v>
      </c>
      <c r="I28" s="15">
        <v>33</v>
      </c>
      <c r="J28" s="15" t="b">
        <v>1</v>
      </c>
      <c r="K28" s="15" t="b">
        <v>1</v>
      </c>
    </row>
    <row r="29" spans="1:11" x14ac:dyDescent="0.3">
      <c r="A29" s="15" t="s">
        <v>395</v>
      </c>
      <c r="B29" s="15">
        <v>1</v>
      </c>
      <c r="C29" s="15" t="s">
        <v>471</v>
      </c>
      <c r="D29" s="15">
        <v>3</v>
      </c>
      <c r="E29" s="15">
        <v>1</v>
      </c>
      <c r="F29" s="15">
        <v>1594</v>
      </c>
      <c r="G29" s="16">
        <v>34.909999999999997</v>
      </c>
      <c r="H29" s="15">
        <f t="shared" si="0"/>
        <v>46</v>
      </c>
      <c r="I29" s="15">
        <v>35</v>
      </c>
      <c r="J29" s="15" t="b">
        <v>1</v>
      </c>
      <c r="K29" s="15" t="b">
        <v>1</v>
      </c>
    </row>
    <row r="30" spans="1:11" x14ac:dyDescent="0.3">
      <c r="A30" s="15" t="s">
        <v>395</v>
      </c>
      <c r="B30" s="15">
        <v>1</v>
      </c>
      <c r="C30" s="15" t="s">
        <v>471</v>
      </c>
      <c r="D30" s="15">
        <v>3</v>
      </c>
      <c r="E30" s="15">
        <v>2</v>
      </c>
      <c r="F30" s="15">
        <v>1444</v>
      </c>
      <c r="G30" s="16">
        <v>34.909999999999997</v>
      </c>
      <c r="H30" s="15">
        <f t="shared" si="0"/>
        <v>42</v>
      </c>
      <c r="I30" s="15">
        <v>35</v>
      </c>
      <c r="J30" s="15" t="b">
        <v>1</v>
      </c>
      <c r="K30" s="15" t="b">
        <v>1</v>
      </c>
    </row>
    <row r="31" spans="1:11" x14ac:dyDescent="0.3">
      <c r="A31" s="15" t="s">
        <v>395</v>
      </c>
      <c r="B31" s="15">
        <v>1</v>
      </c>
      <c r="C31" s="15" t="s">
        <v>471</v>
      </c>
      <c r="D31" s="15">
        <v>3</v>
      </c>
      <c r="E31" s="15">
        <v>3</v>
      </c>
      <c r="F31" s="15">
        <v>1534</v>
      </c>
      <c r="G31" s="16">
        <v>34.909999999999997</v>
      </c>
      <c r="H31" s="15">
        <f t="shared" si="0"/>
        <v>44</v>
      </c>
      <c r="I31" s="15">
        <v>35</v>
      </c>
      <c r="J31" s="15" t="b">
        <v>1</v>
      </c>
      <c r="K31" s="15" t="b">
        <v>1</v>
      </c>
    </row>
    <row r="32" spans="1:11" x14ac:dyDescent="0.3">
      <c r="A32" s="15" t="s">
        <v>395</v>
      </c>
      <c r="B32" s="15">
        <v>1</v>
      </c>
      <c r="C32" s="15" t="s">
        <v>471</v>
      </c>
      <c r="D32" s="15">
        <v>4</v>
      </c>
      <c r="E32" s="15">
        <v>1</v>
      </c>
      <c r="F32" s="15">
        <v>87</v>
      </c>
      <c r="G32" s="16">
        <v>34.909999999999997</v>
      </c>
      <c r="H32" s="15">
        <f t="shared" si="0"/>
        <v>3</v>
      </c>
      <c r="I32" s="15">
        <v>1</v>
      </c>
      <c r="J32" s="15" t="b">
        <v>0</v>
      </c>
      <c r="K32" s="15" t="b">
        <v>1</v>
      </c>
    </row>
    <row r="33" spans="1:11" x14ac:dyDescent="0.3">
      <c r="A33" s="15" t="s">
        <v>395</v>
      </c>
      <c r="B33" s="15">
        <v>1</v>
      </c>
      <c r="C33" s="15" t="s">
        <v>471</v>
      </c>
      <c r="D33" s="15">
        <v>4</v>
      </c>
      <c r="E33" s="15">
        <v>2</v>
      </c>
      <c r="F33" s="15">
        <v>80</v>
      </c>
      <c r="G33" s="16">
        <v>34.909999999999997</v>
      </c>
      <c r="H33" s="15">
        <f t="shared" si="0"/>
        <v>3</v>
      </c>
      <c r="I33" s="15">
        <v>1</v>
      </c>
      <c r="J33" s="15" t="b">
        <v>0</v>
      </c>
      <c r="K33" s="15" t="b">
        <v>1</v>
      </c>
    </row>
    <row r="34" spans="1:11" x14ac:dyDescent="0.3">
      <c r="A34" s="15" t="s">
        <v>395</v>
      </c>
      <c r="B34" s="15">
        <v>1</v>
      </c>
      <c r="C34" s="15" t="s">
        <v>471</v>
      </c>
      <c r="D34" s="15">
        <v>4</v>
      </c>
      <c r="E34" s="15">
        <v>3</v>
      </c>
      <c r="F34" s="15">
        <v>95</v>
      </c>
      <c r="G34" s="16">
        <v>34.909999999999997</v>
      </c>
      <c r="H34" s="15">
        <f t="shared" si="0"/>
        <v>3</v>
      </c>
      <c r="I34" s="15">
        <v>1</v>
      </c>
      <c r="J34" s="15" t="b">
        <v>0</v>
      </c>
      <c r="K34" s="15" t="b">
        <v>1</v>
      </c>
    </row>
    <row r="35" spans="1:11" x14ac:dyDescent="0.3">
      <c r="A35" s="15" t="s">
        <v>395</v>
      </c>
      <c r="B35" s="15">
        <v>1</v>
      </c>
      <c r="C35" s="15" t="s">
        <v>472</v>
      </c>
      <c r="D35" s="15">
        <v>2</v>
      </c>
      <c r="E35" s="15">
        <v>1</v>
      </c>
      <c r="F35" s="15">
        <v>843</v>
      </c>
      <c r="G35" s="16">
        <v>37.08</v>
      </c>
      <c r="H35" s="15">
        <f t="shared" si="0"/>
        <v>23</v>
      </c>
      <c r="I35" s="15">
        <v>24</v>
      </c>
      <c r="J35" s="15" t="b">
        <v>1</v>
      </c>
      <c r="K35" s="15" t="b">
        <v>1</v>
      </c>
    </row>
    <row r="36" spans="1:11" x14ac:dyDescent="0.3">
      <c r="A36" s="15" t="s">
        <v>395</v>
      </c>
      <c r="B36" s="15">
        <v>1</v>
      </c>
      <c r="C36" s="15" t="s">
        <v>472</v>
      </c>
      <c r="D36" s="15">
        <v>2</v>
      </c>
      <c r="E36" s="15">
        <v>2</v>
      </c>
      <c r="F36" s="15">
        <v>875</v>
      </c>
      <c r="G36" s="16">
        <v>37.08</v>
      </c>
      <c r="H36" s="15">
        <f t="shared" si="0"/>
        <v>24</v>
      </c>
      <c r="I36" s="15">
        <v>24</v>
      </c>
      <c r="J36" s="15" t="b">
        <v>1</v>
      </c>
      <c r="K36" s="15" t="b">
        <v>1</v>
      </c>
    </row>
    <row r="37" spans="1:11" x14ac:dyDescent="0.3">
      <c r="A37" s="15" t="s">
        <v>395</v>
      </c>
      <c r="B37" s="15">
        <v>1</v>
      </c>
      <c r="C37" s="15" t="s">
        <v>472</v>
      </c>
      <c r="D37" s="15">
        <v>2</v>
      </c>
      <c r="E37" s="15">
        <v>3</v>
      </c>
      <c r="F37" s="15">
        <v>793</v>
      </c>
      <c r="G37" s="16">
        <v>37.08</v>
      </c>
      <c r="H37" s="15">
        <f t="shared" si="0"/>
        <v>22</v>
      </c>
      <c r="I37" s="15">
        <v>24</v>
      </c>
      <c r="J37" s="15" t="b">
        <v>1</v>
      </c>
      <c r="K37" s="15" t="b">
        <v>1</v>
      </c>
    </row>
    <row r="38" spans="1:11" x14ac:dyDescent="0.3">
      <c r="A38" s="15" t="s">
        <v>395</v>
      </c>
      <c r="B38" s="15">
        <v>1</v>
      </c>
      <c r="C38" s="15" t="s">
        <v>472</v>
      </c>
      <c r="D38" s="15">
        <v>3</v>
      </c>
      <c r="E38" s="15">
        <v>1</v>
      </c>
      <c r="F38" s="15">
        <v>3227</v>
      </c>
      <c r="G38" s="16">
        <v>37.08</v>
      </c>
      <c r="H38" s="15">
        <f t="shared" si="0"/>
        <v>88</v>
      </c>
      <c r="I38" s="15">
        <v>59</v>
      </c>
      <c r="J38" s="15" t="b">
        <v>1</v>
      </c>
      <c r="K38" s="15" t="b">
        <v>1</v>
      </c>
    </row>
    <row r="39" spans="1:11" x14ac:dyDescent="0.3">
      <c r="A39" s="15" t="s">
        <v>395</v>
      </c>
      <c r="B39" s="15">
        <v>1</v>
      </c>
      <c r="C39" s="15" t="s">
        <v>472</v>
      </c>
      <c r="D39" s="15">
        <v>3</v>
      </c>
      <c r="E39" s="15">
        <v>2</v>
      </c>
      <c r="F39" s="15">
        <v>3254</v>
      </c>
      <c r="G39" s="16">
        <v>37.08</v>
      </c>
      <c r="H39" s="15">
        <f t="shared" si="0"/>
        <v>88</v>
      </c>
      <c r="I39" s="15">
        <v>59</v>
      </c>
      <c r="J39" s="15" t="b">
        <v>1</v>
      </c>
      <c r="K39" s="15" t="b">
        <v>1</v>
      </c>
    </row>
    <row r="40" spans="1:11" x14ac:dyDescent="0.3">
      <c r="A40" s="15" t="s">
        <v>395</v>
      </c>
      <c r="B40" s="15">
        <v>1</v>
      </c>
      <c r="C40" s="15" t="s">
        <v>472</v>
      </c>
      <c r="D40" s="15">
        <v>3</v>
      </c>
      <c r="E40" s="15">
        <v>3</v>
      </c>
      <c r="F40" s="15">
        <v>3111</v>
      </c>
      <c r="G40" s="16">
        <v>37.08</v>
      </c>
      <c r="H40" s="15">
        <f t="shared" si="0"/>
        <v>84</v>
      </c>
      <c r="I40" s="15">
        <v>59</v>
      </c>
      <c r="J40" s="15" t="b">
        <v>1</v>
      </c>
      <c r="K40" s="15" t="b">
        <v>1</v>
      </c>
    </row>
    <row r="41" spans="1:11" x14ac:dyDescent="0.3">
      <c r="A41" s="15" t="s">
        <v>395</v>
      </c>
      <c r="B41" s="15">
        <v>1</v>
      </c>
      <c r="C41" s="15" t="s">
        <v>472</v>
      </c>
      <c r="D41" s="15">
        <v>4</v>
      </c>
      <c r="E41" s="15">
        <v>1</v>
      </c>
      <c r="F41" s="15">
        <v>233</v>
      </c>
      <c r="G41" s="16">
        <v>37.08</v>
      </c>
      <c r="H41" s="15">
        <f t="shared" si="0"/>
        <v>7</v>
      </c>
      <c r="I41" s="15">
        <v>5</v>
      </c>
      <c r="J41" s="15" t="b">
        <v>0</v>
      </c>
      <c r="K41" s="15" t="b">
        <v>1</v>
      </c>
    </row>
    <row r="42" spans="1:11" x14ac:dyDescent="0.3">
      <c r="A42" s="15" t="s">
        <v>395</v>
      </c>
      <c r="B42" s="15">
        <v>1</v>
      </c>
      <c r="C42" s="15" t="s">
        <v>472</v>
      </c>
      <c r="D42" s="15">
        <v>4</v>
      </c>
      <c r="E42" s="15">
        <v>2</v>
      </c>
      <c r="F42" s="15">
        <v>257</v>
      </c>
      <c r="G42" s="16">
        <v>37.08</v>
      </c>
      <c r="H42" s="15">
        <f t="shared" si="0"/>
        <v>7</v>
      </c>
      <c r="I42" s="15">
        <v>5</v>
      </c>
      <c r="J42" s="15" t="b">
        <v>0</v>
      </c>
      <c r="K42" s="15" t="b">
        <v>1</v>
      </c>
    </row>
    <row r="43" spans="1:11" x14ac:dyDescent="0.3">
      <c r="A43" s="15" t="s">
        <v>395</v>
      </c>
      <c r="B43" s="15">
        <v>1</v>
      </c>
      <c r="C43" s="15" t="s">
        <v>472</v>
      </c>
      <c r="D43" s="15">
        <v>4</v>
      </c>
      <c r="E43" s="15">
        <v>3</v>
      </c>
      <c r="F43" s="15">
        <v>256</v>
      </c>
      <c r="G43" s="16">
        <v>37.08</v>
      </c>
      <c r="H43" s="15">
        <f t="shared" si="0"/>
        <v>7</v>
      </c>
      <c r="I43" s="15">
        <v>5</v>
      </c>
      <c r="J43" s="15" t="b">
        <v>0</v>
      </c>
      <c r="K43" s="15" t="b">
        <v>1</v>
      </c>
    </row>
    <row r="44" spans="1:11" x14ac:dyDescent="0.3">
      <c r="A44" s="15" t="s">
        <v>395</v>
      </c>
      <c r="B44" s="15">
        <v>1</v>
      </c>
      <c r="C44" s="15" t="s">
        <v>472</v>
      </c>
      <c r="D44" s="15">
        <v>5</v>
      </c>
      <c r="E44" s="15">
        <v>1</v>
      </c>
      <c r="F44" s="15">
        <v>62</v>
      </c>
      <c r="G44" s="16">
        <v>37.08</v>
      </c>
      <c r="H44" s="15">
        <f t="shared" si="0"/>
        <v>2</v>
      </c>
      <c r="I44" s="15">
        <v>1</v>
      </c>
      <c r="J44" s="15" t="b">
        <v>0</v>
      </c>
      <c r="K44" s="15" t="b">
        <v>1</v>
      </c>
    </row>
    <row r="45" spans="1:11" x14ac:dyDescent="0.3">
      <c r="A45" s="15" t="s">
        <v>395</v>
      </c>
      <c r="B45" s="15">
        <v>1</v>
      </c>
      <c r="C45" s="15" t="s">
        <v>472</v>
      </c>
      <c r="D45" s="15">
        <v>5</v>
      </c>
      <c r="E45" s="15">
        <v>2</v>
      </c>
      <c r="F45" s="15">
        <v>57</v>
      </c>
      <c r="G45" s="16">
        <v>37.08</v>
      </c>
      <c r="H45" s="15">
        <f t="shared" si="0"/>
        <v>2</v>
      </c>
      <c r="I45" s="15">
        <v>1</v>
      </c>
      <c r="J45" s="15" t="b">
        <v>0</v>
      </c>
      <c r="K45" s="15" t="b">
        <v>1</v>
      </c>
    </row>
    <row r="46" spans="1:11" x14ac:dyDescent="0.3">
      <c r="A46" s="15" t="s">
        <v>395</v>
      </c>
      <c r="B46" s="15">
        <v>1</v>
      </c>
      <c r="C46" s="15" t="s">
        <v>472</v>
      </c>
      <c r="D46" s="15">
        <v>5</v>
      </c>
      <c r="E46" s="15">
        <v>3</v>
      </c>
      <c r="F46" s="15">
        <v>76</v>
      </c>
      <c r="G46" s="16">
        <v>37.08</v>
      </c>
      <c r="H46" s="15">
        <f t="shared" si="0"/>
        <v>3</v>
      </c>
      <c r="I46" s="15">
        <v>1</v>
      </c>
      <c r="J46" s="15" t="b">
        <v>0</v>
      </c>
      <c r="K46" s="15" t="b">
        <v>1</v>
      </c>
    </row>
    <row r="47" spans="1:11" x14ac:dyDescent="0.3">
      <c r="A47" s="15" t="s">
        <v>395</v>
      </c>
      <c r="B47" s="15">
        <v>1</v>
      </c>
      <c r="C47" s="15" t="s">
        <v>473</v>
      </c>
      <c r="D47" s="15">
        <v>2</v>
      </c>
      <c r="E47" s="15">
        <v>1</v>
      </c>
      <c r="F47" s="15">
        <v>1205</v>
      </c>
      <c r="G47" s="16">
        <v>32.979999999999997</v>
      </c>
      <c r="H47" s="15">
        <f t="shared" si="0"/>
        <v>37</v>
      </c>
      <c r="I47" s="15">
        <v>24</v>
      </c>
      <c r="J47" s="15" t="b">
        <v>1</v>
      </c>
      <c r="K47" s="15" t="b">
        <v>1</v>
      </c>
    </row>
    <row r="48" spans="1:11" x14ac:dyDescent="0.3">
      <c r="A48" s="15" t="s">
        <v>395</v>
      </c>
      <c r="B48" s="15">
        <v>1</v>
      </c>
      <c r="C48" s="15" t="s">
        <v>473</v>
      </c>
      <c r="D48" s="15">
        <v>2</v>
      </c>
      <c r="E48" s="15">
        <v>2</v>
      </c>
      <c r="F48" s="15">
        <v>1095</v>
      </c>
      <c r="G48" s="16">
        <v>32.979999999999997</v>
      </c>
      <c r="H48" s="15">
        <f t="shared" si="0"/>
        <v>34</v>
      </c>
      <c r="I48" s="15">
        <v>24</v>
      </c>
      <c r="J48" s="15" t="b">
        <v>1</v>
      </c>
      <c r="K48" s="15" t="b">
        <v>1</v>
      </c>
    </row>
    <row r="49" spans="1:11" x14ac:dyDescent="0.3">
      <c r="A49" s="15" t="s">
        <v>395</v>
      </c>
      <c r="B49" s="15">
        <v>1</v>
      </c>
      <c r="C49" s="15" t="s">
        <v>473</v>
      </c>
      <c r="D49" s="15">
        <v>2</v>
      </c>
      <c r="E49" s="15">
        <v>3</v>
      </c>
      <c r="F49" s="15">
        <v>1151</v>
      </c>
      <c r="G49" s="16">
        <v>32.979999999999997</v>
      </c>
      <c r="H49" s="15">
        <f t="shared" si="0"/>
        <v>35</v>
      </c>
      <c r="I49" s="15">
        <v>24</v>
      </c>
      <c r="J49" s="15" t="b">
        <v>1</v>
      </c>
      <c r="K49" s="15" t="b">
        <v>1</v>
      </c>
    </row>
    <row r="50" spans="1:11" x14ac:dyDescent="0.3">
      <c r="A50" s="15" t="s">
        <v>395</v>
      </c>
      <c r="B50" s="15">
        <v>1</v>
      </c>
      <c r="C50" s="15" t="s">
        <v>473</v>
      </c>
      <c r="D50" s="15">
        <v>3</v>
      </c>
      <c r="E50" s="15">
        <v>1</v>
      </c>
      <c r="F50" s="15">
        <v>10333</v>
      </c>
      <c r="G50" s="16">
        <v>32.979999999999997</v>
      </c>
      <c r="H50" s="15">
        <f t="shared" si="0"/>
        <v>314</v>
      </c>
      <c r="I50" s="15">
        <v>138</v>
      </c>
      <c r="J50" s="15" t="b">
        <v>1</v>
      </c>
      <c r="K50" s="15" t="b">
        <v>1</v>
      </c>
    </row>
    <row r="51" spans="1:11" x14ac:dyDescent="0.3">
      <c r="A51" s="15" t="s">
        <v>395</v>
      </c>
      <c r="B51" s="15">
        <v>1</v>
      </c>
      <c r="C51" s="15" t="s">
        <v>473</v>
      </c>
      <c r="D51" s="15">
        <v>3</v>
      </c>
      <c r="E51" s="15">
        <v>2</v>
      </c>
      <c r="F51" s="15">
        <v>9841</v>
      </c>
      <c r="G51" s="16">
        <v>32.979999999999997</v>
      </c>
      <c r="H51" s="15">
        <f t="shared" si="0"/>
        <v>299</v>
      </c>
      <c r="I51" s="15">
        <v>138</v>
      </c>
      <c r="J51" s="15" t="b">
        <v>1</v>
      </c>
      <c r="K51" s="15" t="b">
        <v>1</v>
      </c>
    </row>
    <row r="52" spans="1:11" x14ac:dyDescent="0.3">
      <c r="A52" s="15" t="s">
        <v>395</v>
      </c>
      <c r="B52" s="15">
        <v>1</v>
      </c>
      <c r="C52" s="15" t="s">
        <v>473</v>
      </c>
      <c r="D52" s="15">
        <v>3</v>
      </c>
      <c r="E52" s="15">
        <v>3</v>
      </c>
      <c r="F52" s="15">
        <v>9823</v>
      </c>
      <c r="G52" s="16">
        <v>32.979999999999997</v>
      </c>
      <c r="H52" s="15">
        <f t="shared" si="0"/>
        <v>298</v>
      </c>
      <c r="I52" s="15">
        <v>138</v>
      </c>
      <c r="J52" s="15" t="b">
        <v>1</v>
      </c>
      <c r="K52" s="15" t="b">
        <v>1</v>
      </c>
    </row>
    <row r="53" spans="1:11" x14ac:dyDescent="0.3">
      <c r="A53" s="15" t="s">
        <v>395</v>
      </c>
      <c r="B53" s="15">
        <v>1</v>
      </c>
      <c r="C53" s="15" t="s">
        <v>473</v>
      </c>
      <c r="D53" s="15">
        <v>4</v>
      </c>
      <c r="E53" s="15">
        <v>1</v>
      </c>
      <c r="F53" s="15">
        <v>1072</v>
      </c>
      <c r="G53" s="16">
        <v>32.979999999999997</v>
      </c>
      <c r="H53" s="15">
        <f t="shared" si="0"/>
        <v>33</v>
      </c>
      <c r="I53" s="15">
        <v>11</v>
      </c>
      <c r="J53" s="15" t="b">
        <v>0</v>
      </c>
      <c r="K53" s="15" t="b">
        <v>1</v>
      </c>
    </row>
    <row r="54" spans="1:11" x14ac:dyDescent="0.3">
      <c r="A54" s="15" t="s">
        <v>395</v>
      </c>
      <c r="B54" s="15">
        <v>1</v>
      </c>
      <c r="C54" s="15" t="s">
        <v>473</v>
      </c>
      <c r="D54" s="15">
        <v>4</v>
      </c>
      <c r="E54" s="15">
        <v>2</v>
      </c>
      <c r="F54" s="15">
        <v>1068</v>
      </c>
      <c r="G54" s="16">
        <v>32.979999999999997</v>
      </c>
      <c r="H54" s="15">
        <f t="shared" si="0"/>
        <v>33</v>
      </c>
      <c r="I54" s="15">
        <v>11</v>
      </c>
      <c r="J54" s="15" t="b">
        <v>0</v>
      </c>
      <c r="K54" s="15" t="b">
        <v>1</v>
      </c>
    </row>
    <row r="55" spans="1:11" x14ac:dyDescent="0.3">
      <c r="A55" s="15" t="s">
        <v>395</v>
      </c>
      <c r="B55" s="15">
        <v>1</v>
      </c>
      <c r="C55" s="15" t="s">
        <v>473</v>
      </c>
      <c r="D55" s="15">
        <v>4</v>
      </c>
      <c r="E55" s="15">
        <v>3</v>
      </c>
      <c r="F55" s="15">
        <v>1028</v>
      </c>
      <c r="G55" s="16">
        <v>32.979999999999997</v>
      </c>
      <c r="H55" s="15">
        <f t="shared" si="0"/>
        <v>32</v>
      </c>
      <c r="I55" s="15">
        <v>11</v>
      </c>
      <c r="J55" s="15" t="b">
        <v>0</v>
      </c>
      <c r="K55" s="15" t="b">
        <v>1</v>
      </c>
    </row>
    <row r="56" spans="1:11" x14ac:dyDescent="0.3">
      <c r="A56" s="15" t="s">
        <v>395</v>
      </c>
      <c r="B56" s="15">
        <v>1</v>
      </c>
      <c r="C56" s="15" t="s">
        <v>473</v>
      </c>
      <c r="D56" s="15">
        <v>5</v>
      </c>
      <c r="E56" s="15">
        <v>1</v>
      </c>
      <c r="F56" s="15">
        <v>2131</v>
      </c>
      <c r="G56" s="16">
        <v>32.979999999999997</v>
      </c>
      <c r="H56" s="15">
        <f t="shared" si="0"/>
        <v>65</v>
      </c>
      <c r="I56" s="15">
        <v>25</v>
      </c>
      <c r="J56" s="15" t="b">
        <v>0</v>
      </c>
      <c r="K56" s="15" t="b">
        <v>1</v>
      </c>
    </row>
    <row r="57" spans="1:11" x14ac:dyDescent="0.3">
      <c r="A57" s="15" t="s">
        <v>395</v>
      </c>
      <c r="B57" s="15">
        <v>1</v>
      </c>
      <c r="C57" s="15" t="s">
        <v>473</v>
      </c>
      <c r="D57" s="15">
        <v>5</v>
      </c>
      <c r="E57" s="15">
        <v>2</v>
      </c>
      <c r="F57" s="15">
        <v>2010</v>
      </c>
      <c r="G57" s="16">
        <v>32.979999999999997</v>
      </c>
      <c r="H57" s="15">
        <f t="shared" si="0"/>
        <v>61</v>
      </c>
      <c r="I57" s="15">
        <v>25</v>
      </c>
      <c r="J57" s="15" t="b">
        <v>0</v>
      </c>
      <c r="K57" s="15" t="b">
        <v>1</v>
      </c>
    </row>
    <row r="58" spans="1:11" x14ac:dyDescent="0.3">
      <c r="A58" s="15" t="s">
        <v>395</v>
      </c>
      <c r="B58" s="15">
        <v>1</v>
      </c>
      <c r="C58" s="15" t="s">
        <v>473</v>
      </c>
      <c r="D58" s="15">
        <v>5</v>
      </c>
      <c r="E58" s="15">
        <v>3</v>
      </c>
      <c r="F58" s="15">
        <v>2039</v>
      </c>
      <c r="G58" s="16">
        <v>32.979999999999997</v>
      </c>
      <c r="H58" s="15">
        <f t="shared" si="0"/>
        <v>62</v>
      </c>
      <c r="I58" s="15">
        <v>25</v>
      </c>
      <c r="J58" s="15" t="b">
        <v>0</v>
      </c>
      <c r="K58" s="15" t="b">
        <v>1</v>
      </c>
    </row>
    <row r="59" spans="1:11" x14ac:dyDescent="0.3">
      <c r="A59" s="15" t="s">
        <v>395</v>
      </c>
      <c r="B59" s="15">
        <v>1</v>
      </c>
      <c r="C59" s="15" t="s">
        <v>474</v>
      </c>
      <c r="D59" s="15">
        <v>1</v>
      </c>
      <c r="E59" s="15">
        <v>1</v>
      </c>
      <c r="F59" s="15">
        <v>3538</v>
      </c>
      <c r="G59" s="16">
        <v>30.68</v>
      </c>
      <c r="H59" s="15">
        <f t="shared" si="0"/>
        <v>116</v>
      </c>
      <c r="I59" s="15">
        <v>89</v>
      </c>
      <c r="J59" s="15" t="b">
        <v>1</v>
      </c>
      <c r="K59" s="15" t="b">
        <v>1</v>
      </c>
    </row>
    <row r="60" spans="1:11" x14ac:dyDescent="0.3">
      <c r="A60" s="15" t="s">
        <v>395</v>
      </c>
      <c r="B60" s="15">
        <v>1</v>
      </c>
      <c r="C60" s="15" t="s">
        <v>474</v>
      </c>
      <c r="D60" s="15">
        <v>1</v>
      </c>
      <c r="E60" s="15">
        <v>2</v>
      </c>
      <c r="F60" s="15">
        <v>3289</v>
      </c>
      <c r="G60" s="16">
        <v>30.68</v>
      </c>
      <c r="H60" s="15">
        <f t="shared" si="0"/>
        <v>108</v>
      </c>
      <c r="I60" s="15">
        <v>89</v>
      </c>
      <c r="J60" s="15" t="b">
        <v>1</v>
      </c>
      <c r="K60" s="15" t="b">
        <v>1</v>
      </c>
    </row>
    <row r="61" spans="1:11" x14ac:dyDescent="0.3">
      <c r="A61" s="15" t="s">
        <v>395</v>
      </c>
      <c r="B61" s="15">
        <v>1</v>
      </c>
      <c r="C61" s="15" t="s">
        <v>474</v>
      </c>
      <c r="D61" s="15">
        <v>1</v>
      </c>
      <c r="E61" s="15">
        <v>3</v>
      </c>
      <c r="F61" s="15">
        <v>3400</v>
      </c>
      <c r="G61" s="16">
        <v>30.68</v>
      </c>
      <c r="H61" s="15">
        <f t="shared" si="0"/>
        <v>111</v>
      </c>
      <c r="I61" s="15">
        <v>89</v>
      </c>
      <c r="J61" s="15" t="b">
        <v>1</v>
      </c>
      <c r="K61" s="15" t="b">
        <v>1</v>
      </c>
    </row>
    <row r="62" spans="1:11" x14ac:dyDescent="0.3">
      <c r="A62" s="15" t="s">
        <v>395</v>
      </c>
      <c r="B62" s="15">
        <v>1</v>
      </c>
      <c r="C62" s="15" t="s">
        <v>474</v>
      </c>
      <c r="D62" s="15">
        <v>2</v>
      </c>
      <c r="E62" s="15">
        <v>1</v>
      </c>
      <c r="F62" s="15">
        <v>1593</v>
      </c>
      <c r="G62" s="16">
        <v>30.68</v>
      </c>
      <c r="H62" s="15">
        <f t="shared" si="0"/>
        <v>52</v>
      </c>
      <c r="I62" s="15">
        <v>36</v>
      </c>
      <c r="J62" s="15" t="b">
        <v>1</v>
      </c>
      <c r="K62" s="15" t="b">
        <v>1</v>
      </c>
    </row>
    <row r="63" spans="1:11" x14ac:dyDescent="0.3">
      <c r="A63" s="15" t="s">
        <v>395</v>
      </c>
      <c r="B63" s="15">
        <v>1</v>
      </c>
      <c r="C63" s="15" t="s">
        <v>474</v>
      </c>
      <c r="D63" s="15">
        <v>2</v>
      </c>
      <c r="E63" s="15">
        <v>2</v>
      </c>
      <c r="F63" s="15">
        <v>1469</v>
      </c>
      <c r="G63" s="16">
        <v>30.68</v>
      </c>
      <c r="H63" s="15">
        <f t="shared" si="0"/>
        <v>48</v>
      </c>
      <c r="I63" s="15">
        <v>36</v>
      </c>
      <c r="J63" s="15" t="b">
        <v>1</v>
      </c>
      <c r="K63" s="15" t="b">
        <v>1</v>
      </c>
    </row>
    <row r="64" spans="1:11" x14ac:dyDescent="0.3">
      <c r="A64" s="15" t="s">
        <v>395</v>
      </c>
      <c r="B64" s="15">
        <v>1</v>
      </c>
      <c r="C64" s="15" t="s">
        <v>474</v>
      </c>
      <c r="D64" s="15">
        <v>2</v>
      </c>
      <c r="E64" s="15">
        <v>3</v>
      </c>
      <c r="F64" s="15">
        <v>1438</v>
      </c>
      <c r="G64" s="16">
        <v>30.68</v>
      </c>
      <c r="H64" s="15">
        <f t="shared" si="0"/>
        <v>47</v>
      </c>
      <c r="I64" s="15">
        <v>36</v>
      </c>
      <c r="J64" s="15" t="b">
        <v>1</v>
      </c>
      <c r="K64" s="15" t="b">
        <v>1</v>
      </c>
    </row>
    <row r="65" spans="1:11" x14ac:dyDescent="0.3">
      <c r="A65" s="15" t="s">
        <v>395</v>
      </c>
      <c r="B65" s="15">
        <v>1</v>
      </c>
      <c r="C65" s="15" t="s">
        <v>474</v>
      </c>
      <c r="D65" s="15">
        <v>3</v>
      </c>
      <c r="E65" s="15">
        <v>1</v>
      </c>
      <c r="F65" s="15">
        <v>1203</v>
      </c>
      <c r="G65" s="16">
        <v>30.68</v>
      </c>
      <c r="H65" s="15">
        <f t="shared" si="0"/>
        <v>40</v>
      </c>
      <c r="I65" s="15">
        <v>16</v>
      </c>
      <c r="J65" s="15" t="b">
        <v>1</v>
      </c>
      <c r="K65" s="15" t="b">
        <v>1</v>
      </c>
    </row>
    <row r="66" spans="1:11" x14ac:dyDescent="0.3">
      <c r="A66" s="15" t="s">
        <v>395</v>
      </c>
      <c r="B66" s="15">
        <v>1</v>
      </c>
      <c r="C66" s="15" t="s">
        <v>474</v>
      </c>
      <c r="D66" s="15">
        <v>3</v>
      </c>
      <c r="E66" s="15">
        <v>2</v>
      </c>
      <c r="F66" s="15">
        <v>1296</v>
      </c>
      <c r="G66" s="16">
        <v>30.68</v>
      </c>
      <c r="H66" s="15">
        <f t="shared" si="0"/>
        <v>43</v>
      </c>
      <c r="I66" s="15">
        <v>16</v>
      </c>
      <c r="J66" s="15" t="b">
        <v>1</v>
      </c>
      <c r="K66" s="15" t="b">
        <v>1</v>
      </c>
    </row>
    <row r="67" spans="1:11" x14ac:dyDescent="0.3">
      <c r="A67" s="15" t="s">
        <v>395</v>
      </c>
      <c r="B67" s="15">
        <v>1</v>
      </c>
      <c r="C67" s="15" t="s">
        <v>474</v>
      </c>
      <c r="D67" s="15">
        <v>3</v>
      </c>
      <c r="E67" s="15">
        <v>3</v>
      </c>
      <c r="F67" s="15">
        <v>1218</v>
      </c>
      <c r="G67" s="16">
        <v>30.68</v>
      </c>
      <c r="H67" s="15">
        <f t="shared" ref="H67:H130" si="1">ROUNDUP(F67/G67,0)</f>
        <v>40</v>
      </c>
      <c r="I67" s="15">
        <v>16</v>
      </c>
      <c r="J67" s="15" t="b">
        <v>1</v>
      </c>
      <c r="K67" s="15" t="b">
        <v>1</v>
      </c>
    </row>
    <row r="68" spans="1:11" x14ac:dyDescent="0.3">
      <c r="A68" s="15" t="s">
        <v>395</v>
      </c>
      <c r="B68" s="15">
        <v>1</v>
      </c>
      <c r="C68" s="15" t="s">
        <v>474</v>
      </c>
      <c r="D68" s="15">
        <v>4</v>
      </c>
      <c r="E68" s="15">
        <v>1</v>
      </c>
      <c r="F68" s="15">
        <v>48</v>
      </c>
      <c r="G68" s="16">
        <v>30.68</v>
      </c>
      <c r="H68" s="15">
        <f t="shared" si="1"/>
        <v>2</v>
      </c>
      <c r="I68" s="15">
        <v>1</v>
      </c>
      <c r="J68" s="15" t="b">
        <v>0</v>
      </c>
      <c r="K68" s="15" t="b">
        <v>1</v>
      </c>
    </row>
    <row r="69" spans="1:11" x14ac:dyDescent="0.3">
      <c r="A69" s="15" t="s">
        <v>395</v>
      </c>
      <c r="B69" s="15">
        <v>1</v>
      </c>
      <c r="C69" s="15" t="s">
        <v>474</v>
      </c>
      <c r="D69" s="15">
        <v>4</v>
      </c>
      <c r="E69" s="15">
        <v>2</v>
      </c>
      <c r="F69" s="15">
        <v>35</v>
      </c>
      <c r="G69" s="16">
        <v>30.68</v>
      </c>
      <c r="H69" s="15">
        <f t="shared" si="1"/>
        <v>2</v>
      </c>
      <c r="I69" s="15">
        <v>1</v>
      </c>
      <c r="J69" s="15" t="b">
        <v>0</v>
      </c>
      <c r="K69" s="15" t="b">
        <v>1</v>
      </c>
    </row>
    <row r="70" spans="1:11" x14ac:dyDescent="0.3">
      <c r="A70" s="15" t="s">
        <v>395</v>
      </c>
      <c r="B70" s="15">
        <v>1</v>
      </c>
      <c r="C70" s="15" t="s">
        <v>474</v>
      </c>
      <c r="D70" s="15">
        <v>4</v>
      </c>
      <c r="E70" s="15">
        <v>3</v>
      </c>
      <c r="F70" s="15">
        <v>49</v>
      </c>
      <c r="G70" s="16">
        <v>30.68</v>
      </c>
      <c r="H70" s="15">
        <f t="shared" si="1"/>
        <v>2</v>
      </c>
      <c r="I70" s="15">
        <v>1</v>
      </c>
      <c r="J70" s="15" t="b">
        <v>0</v>
      </c>
      <c r="K70" s="15" t="b">
        <v>1</v>
      </c>
    </row>
    <row r="71" spans="1:11" x14ac:dyDescent="0.3">
      <c r="A71" s="15" t="s">
        <v>395</v>
      </c>
      <c r="B71" s="15">
        <v>1</v>
      </c>
      <c r="C71" s="15" t="s">
        <v>475</v>
      </c>
      <c r="D71" s="15">
        <v>1</v>
      </c>
      <c r="E71" s="15">
        <v>1</v>
      </c>
      <c r="F71" s="15">
        <v>1057</v>
      </c>
      <c r="G71" s="16">
        <v>32.659999999999997</v>
      </c>
      <c r="H71" s="15">
        <f t="shared" si="1"/>
        <v>33</v>
      </c>
      <c r="I71" s="15">
        <v>28</v>
      </c>
      <c r="J71" s="15" t="b">
        <v>1</v>
      </c>
      <c r="K71" s="15" t="b">
        <v>1</v>
      </c>
    </row>
    <row r="72" spans="1:11" x14ac:dyDescent="0.3">
      <c r="A72" s="15" t="s">
        <v>395</v>
      </c>
      <c r="B72" s="15">
        <v>1</v>
      </c>
      <c r="C72" s="15" t="s">
        <v>475</v>
      </c>
      <c r="D72" s="15">
        <v>1</v>
      </c>
      <c r="E72" s="15">
        <v>2</v>
      </c>
      <c r="F72" s="15">
        <v>920</v>
      </c>
      <c r="G72" s="16">
        <v>32.659999999999997</v>
      </c>
      <c r="H72" s="15">
        <f t="shared" si="1"/>
        <v>29</v>
      </c>
      <c r="I72" s="15">
        <v>28</v>
      </c>
      <c r="J72" s="15" t="b">
        <v>1</v>
      </c>
      <c r="K72" s="15" t="b">
        <v>1</v>
      </c>
    </row>
    <row r="73" spans="1:11" x14ac:dyDescent="0.3">
      <c r="A73" s="15" t="s">
        <v>395</v>
      </c>
      <c r="B73" s="15">
        <v>1</v>
      </c>
      <c r="C73" s="15" t="s">
        <v>475</v>
      </c>
      <c r="D73" s="15">
        <v>1</v>
      </c>
      <c r="E73" s="15">
        <v>3</v>
      </c>
      <c r="F73" s="15">
        <v>853</v>
      </c>
      <c r="G73" s="16">
        <v>32.659999999999997</v>
      </c>
      <c r="H73" s="15">
        <f t="shared" si="1"/>
        <v>27</v>
      </c>
      <c r="I73" s="15">
        <v>28</v>
      </c>
      <c r="J73" s="15" t="b">
        <v>1</v>
      </c>
      <c r="K73" s="15" t="b">
        <v>1</v>
      </c>
    </row>
    <row r="74" spans="1:11" x14ac:dyDescent="0.3">
      <c r="A74" s="15" t="s">
        <v>395</v>
      </c>
      <c r="B74" s="15">
        <v>1</v>
      </c>
      <c r="C74" s="15" t="s">
        <v>475</v>
      </c>
      <c r="D74" s="15">
        <v>2</v>
      </c>
      <c r="E74" s="15">
        <v>1</v>
      </c>
      <c r="F74" s="15">
        <v>929</v>
      </c>
      <c r="G74" s="16">
        <v>32.659999999999997</v>
      </c>
      <c r="H74" s="15">
        <f t="shared" si="1"/>
        <v>29</v>
      </c>
      <c r="I74" s="15">
        <v>19</v>
      </c>
      <c r="J74" s="15" t="b">
        <v>1</v>
      </c>
      <c r="K74" s="15" t="b">
        <v>1</v>
      </c>
    </row>
    <row r="75" spans="1:11" x14ac:dyDescent="0.3">
      <c r="A75" s="15" t="s">
        <v>395</v>
      </c>
      <c r="B75" s="15">
        <v>1</v>
      </c>
      <c r="C75" s="15" t="s">
        <v>475</v>
      </c>
      <c r="D75" s="15">
        <v>2</v>
      </c>
      <c r="E75" s="15">
        <v>2</v>
      </c>
      <c r="F75" s="15">
        <v>866</v>
      </c>
      <c r="G75" s="16">
        <v>32.659999999999997</v>
      </c>
      <c r="H75" s="15">
        <f t="shared" si="1"/>
        <v>27</v>
      </c>
      <c r="I75" s="15">
        <v>19</v>
      </c>
      <c r="J75" s="15" t="b">
        <v>1</v>
      </c>
      <c r="K75" s="15" t="b">
        <v>1</v>
      </c>
    </row>
    <row r="76" spans="1:11" x14ac:dyDescent="0.3">
      <c r="A76" s="15" t="s">
        <v>395</v>
      </c>
      <c r="B76" s="15">
        <v>1</v>
      </c>
      <c r="C76" s="15" t="s">
        <v>475</v>
      </c>
      <c r="D76" s="15">
        <v>2</v>
      </c>
      <c r="E76" s="15">
        <v>3</v>
      </c>
      <c r="F76" s="15">
        <v>850</v>
      </c>
      <c r="G76" s="16">
        <v>32.659999999999997</v>
      </c>
      <c r="H76" s="15">
        <f t="shared" si="1"/>
        <v>27</v>
      </c>
      <c r="I76" s="15">
        <v>19</v>
      </c>
      <c r="J76" s="15" t="b">
        <v>1</v>
      </c>
      <c r="K76" s="15" t="b">
        <v>1</v>
      </c>
    </row>
    <row r="77" spans="1:11" x14ac:dyDescent="0.3">
      <c r="A77" s="15" t="s">
        <v>395</v>
      </c>
      <c r="B77" s="15">
        <v>1</v>
      </c>
      <c r="C77" s="15" t="s">
        <v>475</v>
      </c>
      <c r="D77" s="15">
        <v>3</v>
      </c>
      <c r="E77" s="15">
        <v>1</v>
      </c>
      <c r="F77" s="15">
        <v>5937</v>
      </c>
      <c r="G77" s="16">
        <v>32.659999999999997</v>
      </c>
      <c r="H77" s="15">
        <f t="shared" si="1"/>
        <v>182</v>
      </c>
      <c r="I77" s="15">
        <v>73</v>
      </c>
      <c r="J77" s="15" t="b">
        <v>1</v>
      </c>
      <c r="K77" s="15" t="b">
        <v>1</v>
      </c>
    </row>
    <row r="78" spans="1:11" x14ac:dyDescent="0.3">
      <c r="A78" s="15" t="s">
        <v>395</v>
      </c>
      <c r="B78" s="15">
        <v>1</v>
      </c>
      <c r="C78" s="15" t="s">
        <v>475</v>
      </c>
      <c r="D78" s="15">
        <v>3</v>
      </c>
      <c r="E78" s="15">
        <v>2</v>
      </c>
      <c r="F78" s="15">
        <v>5248</v>
      </c>
      <c r="G78" s="16">
        <v>32.659999999999997</v>
      </c>
      <c r="H78" s="15">
        <f t="shared" si="1"/>
        <v>161</v>
      </c>
      <c r="I78" s="15">
        <v>73</v>
      </c>
      <c r="J78" s="15" t="b">
        <v>1</v>
      </c>
      <c r="K78" s="15" t="b">
        <v>1</v>
      </c>
    </row>
    <row r="79" spans="1:11" x14ac:dyDescent="0.3">
      <c r="A79" s="15" t="s">
        <v>395</v>
      </c>
      <c r="B79" s="15">
        <v>1</v>
      </c>
      <c r="C79" s="15" t="s">
        <v>475</v>
      </c>
      <c r="D79" s="15">
        <v>3</v>
      </c>
      <c r="E79" s="15">
        <v>3</v>
      </c>
      <c r="F79" s="15">
        <v>5623</v>
      </c>
      <c r="G79" s="16">
        <v>32.659999999999997</v>
      </c>
      <c r="H79" s="15">
        <f t="shared" si="1"/>
        <v>173</v>
      </c>
      <c r="I79" s="15">
        <v>73</v>
      </c>
      <c r="J79" s="15" t="b">
        <v>1</v>
      </c>
      <c r="K79" s="15" t="b">
        <v>1</v>
      </c>
    </row>
    <row r="80" spans="1:11" x14ac:dyDescent="0.3">
      <c r="A80" s="15" t="s">
        <v>395</v>
      </c>
      <c r="B80" s="15">
        <v>1</v>
      </c>
      <c r="C80" s="15" t="s">
        <v>475</v>
      </c>
      <c r="D80" s="15">
        <v>4</v>
      </c>
      <c r="E80" s="15">
        <v>1</v>
      </c>
      <c r="F80" s="15">
        <v>291</v>
      </c>
      <c r="G80" s="16">
        <v>32.659999999999997</v>
      </c>
      <c r="H80" s="15">
        <f t="shared" si="1"/>
        <v>9</v>
      </c>
      <c r="I80" s="15">
        <v>7</v>
      </c>
      <c r="J80" s="15" t="b">
        <v>0</v>
      </c>
      <c r="K80" s="15" t="b">
        <v>1</v>
      </c>
    </row>
    <row r="81" spans="1:11" x14ac:dyDescent="0.3">
      <c r="A81" s="15" t="s">
        <v>395</v>
      </c>
      <c r="B81" s="15">
        <v>1</v>
      </c>
      <c r="C81" s="15" t="s">
        <v>475</v>
      </c>
      <c r="D81" s="15">
        <v>4</v>
      </c>
      <c r="E81" s="15">
        <v>2</v>
      </c>
      <c r="F81" s="15">
        <v>298</v>
      </c>
      <c r="G81" s="16">
        <v>32.659999999999997</v>
      </c>
      <c r="H81" s="15">
        <f t="shared" si="1"/>
        <v>10</v>
      </c>
      <c r="I81" s="15">
        <v>7</v>
      </c>
      <c r="J81" s="15" t="b">
        <v>0</v>
      </c>
      <c r="K81" s="15" t="b">
        <v>1</v>
      </c>
    </row>
    <row r="82" spans="1:11" x14ac:dyDescent="0.3">
      <c r="A82" s="15" t="s">
        <v>395</v>
      </c>
      <c r="B82" s="15">
        <v>1</v>
      </c>
      <c r="C82" s="15" t="s">
        <v>475</v>
      </c>
      <c r="D82" s="15">
        <v>4</v>
      </c>
      <c r="E82" s="15">
        <v>3</v>
      </c>
      <c r="F82" s="15">
        <v>319</v>
      </c>
      <c r="G82" s="16">
        <v>32.659999999999997</v>
      </c>
      <c r="H82" s="15">
        <f t="shared" si="1"/>
        <v>10</v>
      </c>
      <c r="I82" s="15">
        <v>7</v>
      </c>
      <c r="J82" s="15" t="b">
        <v>0</v>
      </c>
      <c r="K82" s="15" t="b">
        <v>1</v>
      </c>
    </row>
    <row r="83" spans="1:11" x14ac:dyDescent="0.3">
      <c r="A83" s="15" t="s">
        <v>395</v>
      </c>
      <c r="B83" s="15">
        <v>1</v>
      </c>
      <c r="C83" s="15" t="s">
        <v>475</v>
      </c>
      <c r="D83" s="15">
        <v>5</v>
      </c>
      <c r="E83" s="15">
        <v>1</v>
      </c>
      <c r="F83" s="15">
        <v>280</v>
      </c>
      <c r="G83" s="16">
        <v>32.659999999999997</v>
      </c>
      <c r="H83" s="15">
        <f t="shared" si="1"/>
        <v>9</v>
      </c>
      <c r="I83" s="15">
        <v>4</v>
      </c>
      <c r="J83" s="15" t="b">
        <v>0</v>
      </c>
      <c r="K83" s="15" t="b">
        <v>1</v>
      </c>
    </row>
    <row r="84" spans="1:11" x14ac:dyDescent="0.3">
      <c r="A84" s="15" t="s">
        <v>395</v>
      </c>
      <c r="B84" s="15">
        <v>1</v>
      </c>
      <c r="C84" s="15" t="s">
        <v>475</v>
      </c>
      <c r="D84" s="15">
        <v>5</v>
      </c>
      <c r="E84" s="15">
        <v>2</v>
      </c>
      <c r="F84" s="15">
        <v>277</v>
      </c>
      <c r="G84" s="16">
        <v>32.659999999999997</v>
      </c>
      <c r="H84" s="15">
        <f t="shared" si="1"/>
        <v>9</v>
      </c>
      <c r="I84" s="15">
        <v>4</v>
      </c>
      <c r="J84" s="15" t="b">
        <v>0</v>
      </c>
      <c r="K84" s="15" t="b">
        <v>1</v>
      </c>
    </row>
    <row r="85" spans="1:11" x14ac:dyDescent="0.3">
      <c r="A85" s="15" t="s">
        <v>395</v>
      </c>
      <c r="B85" s="15">
        <v>1</v>
      </c>
      <c r="C85" s="15" t="s">
        <v>475</v>
      </c>
      <c r="D85" s="15">
        <v>5</v>
      </c>
      <c r="E85" s="15">
        <v>3</v>
      </c>
      <c r="F85" s="15">
        <v>270</v>
      </c>
      <c r="G85" s="16">
        <v>32.659999999999997</v>
      </c>
      <c r="H85" s="15">
        <f t="shared" si="1"/>
        <v>9</v>
      </c>
      <c r="I85" s="15">
        <v>4</v>
      </c>
      <c r="J85" s="15" t="b">
        <v>0</v>
      </c>
      <c r="K85" s="15" t="b">
        <v>1</v>
      </c>
    </row>
    <row r="86" spans="1:11" x14ac:dyDescent="0.3">
      <c r="A86" s="15" t="s">
        <v>395</v>
      </c>
      <c r="B86" s="15">
        <v>1</v>
      </c>
      <c r="C86" s="15" t="s">
        <v>476</v>
      </c>
      <c r="D86" s="15">
        <v>1</v>
      </c>
      <c r="E86" s="15">
        <v>1</v>
      </c>
      <c r="F86" s="15">
        <v>1015</v>
      </c>
      <c r="G86" s="16">
        <v>30.9</v>
      </c>
      <c r="H86" s="15">
        <f t="shared" si="1"/>
        <v>33</v>
      </c>
      <c r="I86" s="15">
        <v>24</v>
      </c>
      <c r="J86" s="15" t="b">
        <v>1</v>
      </c>
      <c r="K86" s="15" t="b">
        <v>1</v>
      </c>
    </row>
    <row r="87" spans="1:11" x14ac:dyDescent="0.3">
      <c r="A87" s="15" t="s">
        <v>395</v>
      </c>
      <c r="B87" s="15">
        <v>1</v>
      </c>
      <c r="C87" s="15" t="s">
        <v>476</v>
      </c>
      <c r="D87" s="15">
        <v>1</v>
      </c>
      <c r="E87" s="15">
        <v>2</v>
      </c>
      <c r="F87" s="15">
        <v>910</v>
      </c>
      <c r="G87" s="16">
        <v>30.9</v>
      </c>
      <c r="H87" s="15">
        <f t="shared" si="1"/>
        <v>30</v>
      </c>
      <c r="I87" s="15">
        <v>24</v>
      </c>
      <c r="J87" s="15" t="b">
        <v>1</v>
      </c>
      <c r="K87" s="15" t="b">
        <v>1</v>
      </c>
    </row>
    <row r="88" spans="1:11" x14ac:dyDescent="0.3">
      <c r="A88" s="15" t="s">
        <v>395</v>
      </c>
      <c r="B88" s="15">
        <v>1</v>
      </c>
      <c r="C88" s="15" t="s">
        <v>476</v>
      </c>
      <c r="D88" s="15">
        <v>1</v>
      </c>
      <c r="E88" s="15">
        <v>3</v>
      </c>
      <c r="F88" s="15">
        <v>929</v>
      </c>
      <c r="G88" s="16">
        <v>30.9</v>
      </c>
      <c r="H88" s="15">
        <f t="shared" si="1"/>
        <v>31</v>
      </c>
      <c r="I88" s="15">
        <v>24</v>
      </c>
      <c r="J88" s="15" t="b">
        <v>1</v>
      </c>
      <c r="K88" s="15" t="b">
        <v>1</v>
      </c>
    </row>
    <row r="89" spans="1:11" x14ac:dyDescent="0.3">
      <c r="A89" s="15" t="s">
        <v>395</v>
      </c>
      <c r="B89" s="15">
        <v>1</v>
      </c>
      <c r="C89" s="15" t="s">
        <v>476</v>
      </c>
      <c r="D89" s="15">
        <v>2</v>
      </c>
      <c r="E89" s="15">
        <v>1</v>
      </c>
      <c r="F89" s="15">
        <v>1319</v>
      </c>
      <c r="G89" s="16">
        <v>30.9</v>
      </c>
      <c r="H89" s="15">
        <f t="shared" si="1"/>
        <v>43</v>
      </c>
      <c r="I89" s="15">
        <v>30</v>
      </c>
      <c r="J89" s="15" t="b">
        <v>1</v>
      </c>
      <c r="K89" s="15" t="b">
        <v>1</v>
      </c>
    </row>
    <row r="90" spans="1:11" x14ac:dyDescent="0.3">
      <c r="A90" s="15" t="s">
        <v>395</v>
      </c>
      <c r="B90" s="15">
        <v>1</v>
      </c>
      <c r="C90" s="15" t="s">
        <v>476</v>
      </c>
      <c r="D90" s="15">
        <v>2</v>
      </c>
      <c r="E90" s="15">
        <v>2</v>
      </c>
      <c r="F90" s="15">
        <v>1101</v>
      </c>
      <c r="G90" s="16">
        <v>30.9</v>
      </c>
      <c r="H90" s="15">
        <f t="shared" si="1"/>
        <v>36</v>
      </c>
      <c r="I90" s="15">
        <v>30</v>
      </c>
      <c r="J90" s="15" t="b">
        <v>1</v>
      </c>
      <c r="K90" s="15" t="b">
        <v>1</v>
      </c>
    </row>
    <row r="91" spans="1:11" x14ac:dyDescent="0.3">
      <c r="A91" s="15" t="s">
        <v>395</v>
      </c>
      <c r="B91" s="15">
        <v>1</v>
      </c>
      <c r="C91" s="15" t="s">
        <v>476</v>
      </c>
      <c r="D91" s="15">
        <v>2</v>
      </c>
      <c r="E91" s="15">
        <v>3</v>
      </c>
      <c r="F91" s="15">
        <v>1157</v>
      </c>
      <c r="G91" s="16">
        <v>30.9</v>
      </c>
      <c r="H91" s="15">
        <f t="shared" si="1"/>
        <v>38</v>
      </c>
      <c r="I91" s="15">
        <v>30</v>
      </c>
      <c r="J91" s="15" t="b">
        <v>1</v>
      </c>
      <c r="K91" s="15" t="b">
        <v>1</v>
      </c>
    </row>
    <row r="92" spans="1:11" x14ac:dyDescent="0.3">
      <c r="A92" s="15" t="s">
        <v>395</v>
      </c>
      <c r="B92" s="15">
        <v>1</v>
      </c>
      <c r="C92" s="15" t="s">
        <v>476</v>
      </c>
      <c r="D92" s="15">
        <v>3</v>
      </c>
      <c r="E92" s="15">
        <v>1</v>
      </c>
      <c r="F92" s="15">
        <v>3824</v>
      </c>
      <c r="G92" s="16">
        <v>30.9</v>
      </c>
      <c r="H92" s="15">
        <f t="shared" si="1"/>
        <v>124</v>
      </c>
      <c r="I92" s="15">
        <v>38</v>
      </c>
      <c r="J92" s="15" t="b">
        <v>1</v>
      </c>
      <c r="K92" s="15" t="b">
        <v>1</v>
      </c>
    </row>
    <row r="93" spans="1:11" x14ac:dyDescent="0.3">
      <c r="A93" s="15" t="s">
        <v>395</v>
      </c>
      <c r="B93" s="15">
        <v>1</v>
      </c>
      <c r="C93" s="15" t="s">
        <v>476</v>
      </c>
      <c r="D93" s="15">
        <v>3</v>
      </c>
      <c r="E93" s="15">
        <v>2</v>
      </c>
      <c r="F93" s="15">
        <v>3481</v>
      </c>
      <c r="G93" s="16">
        <v>30.9</v>
      </c>
      <c r="H93" s="15">
        <f t="shared" si="1"/>
        <v>113</v>
      </c>
      <c r="I93" s="15">
        <v>38</v>
      </c>
      <c r="J93" s="15" t="b">
        <v>1</v>
      </c>
      <c r="K93" s="15" t="b">
        <v>1</v>
      </c>
    </row>
    <row r="94" spans="1:11" x14ac:dyDescent="0.3">
      <c r="A94" s="15" t="s">
        <v>395</v>
      </c>
      <c r="B94" s="15">
        <v>1</v>
      </c>
      <c r="C94" s="15" t="s">
        <v>476</v>
      </c>
      <c r="D94" s="15">
        <v>3</v>
      </c>
      <c r="E94" s="15">
        <v>3</v>
      </c>
      <c r="F94" s="15">
        <v>3366</v>
      </c>
      <c r="G94" s="16">
        <v>30.9</v>
      </c>
      <c r="H94" s="15">
        <f t="shared" si="1"/>
        <v>109</v>
      </c>
      <c r="I94" s="15">
        <v>38</v>
      </c>
      <c r="J94" s="15" t="b">
        <v>1</v>
      </c>
      <c r="K94" s="15" t="b">
        <v>1</v>
      </c>
    </row>
    <row r="95" spans="1:11" x14ac:dyDescent="0.3">
      <c r="A95" s="15" t="s">
        <v>395</v>
      </c>
      <c r="B95" s="15">
        <v>1</v>
      </c>
      <c r="C95" s="15" t="s">
        <v>476</v>
      </c>
      <c r="D95" s="15">
        <v>4</v>
      </c>
      <c r="E95" s="15">
        <v>1</v>
      </c>
      <c r="F95" s="15">
        <v>231</v>
      </c>
      <c r="G95" s="16">
        <v>30.9</v>
      </c>
      <c r="H95" s="15">
        <f t="shared" si="1"/>
        <v>8</v>
      </c>
      <c r="I95" s="15">
        <v>5</v>
      </c>
      <c r="J95" s="15" t="b">
        <v>0</v>
      </c>
      <c r="K95" s="15" t="b">
        <v>1</v>
      </c>
    </row>
    <row r="96" spans="1:11" x14ac:dyDescent="0.3">
      <c r="A96" s="15" t="s">
        <v>395</v>
      </c>
      <c r="B96" s="15">
        <v>1</v>
      </c>
      <c r="C96" s="15" t="s">
        <v>476</v>
      </c>
      <c r="D96" s="15">
        <v>4</v>
      </c>
      <c r="E96" s="15">
        <v>2</v>
      </c>
      <c r="F96" s="15">
        <v>214</v>
      </c>
      <c r="G96" s="16">
        <v>30.9</v>
      </c>
      <c r="H96" s="15">
        <f t="shared" si="1"/>
        <v>7</v>
      </c>
      <c r="I96" s="15">
        <v>5</v>
      </c>
      <c r="J96" s="15" t="b">
        <v>0</v>
      </c>
      <c r="K96" s="15" t="b">
        <v>1</v>
      </c>
    </row>
    <row r="97" spans="1:11" x14ac:dyDescent="0.3">
      <c r="A97" s="15" t="s">
        <v>395</v>
      </c>
      <c r="B97" s="15">
        <v>1</v>
      </c>
      <c r="C97" s="15" t="s">
        <v>476</v>
      </c>
      <c r="D97" s="15">
        <v>4</v>
      </c>
      <c r="E97" s="15">
        <v>3</v>
      </c>
      <c r="F97" s="15">
        <v>196</v>
      </c>
      <c r="G97" s="16">
        <v>30.9</v>
      </c>
      <c r="H97" s="15">
        <f t="shared" si="1"/>
        <v>7</v>
      </c>
      <c r="I97" s="15">
        <v>5</v>
      </c>
      <c r="J97" s="15" t="b">
        <v>0</v>
      </c>
      <c r="K97" s="15" t="b">
        <v>1</v>
      </c>
    </row>
    <row r="98" spans="1:11" x14ac:dyDescent="0.3">
      <c r="A98" s="15" t="s">
        <v>395</v>
      </c>
      <c r="B98" s="15">
        <v>1</v>
      </c>
      <c r="C98" s="15" t="s">
        <v>476</v>
      </c>
      <c r="D98" s="15">
        <v>5</v>
      </c>
      <c r="E98" s="15">
        <v>1</v>
      </c>
      <c r="F98" s="15">
        <v>91</v>
      </c>
      <c r="G98" s="16">
        <v>30.9</v>
      </c>
      <c r="H98" s="15">
        <f t="shared" si="1"/>
        <v>3</v>
      </c>
      <c r="I98" s="15">
        <v>1</v>
      </c>
      <c r="J98" s="15" t="b">
        <v>0</v>
      </c>
      <c r="K98" s="15" t="b">
        <v>1</v>
      </c>
    </row>
    <row r="99" spans="1:11" x14ac:dyDescent="0.3">
      <c r="A99" s="15" t="s">
        <v>395</v>
      </c>
      <c r="B99" s="15">
        <v>1</v>
      </c>
      <c r="C99" s="15" t="s">
        <v>476</v>
      </c>
      <c r="D99" s="15">
        <v>5</v>
      </c>
      <c r="E99" s="15">
        <v>2</v>
      </c>
      <c r="F99" s="15">
        <v>85</v>
      </c>
      <c r="G99" s="16">
        <v>30.9</v>
      </c>
      <c r="H99" s="15">
        <f t="shared" si="1"/>
        <v>3</v>
      </c>
      <c r="I99" s="15">
        <v>1</v>
      </c>
      <c r="J99" s="15" t="b">
        <v>0</v>
      </c>
      <c r="K99" s="15" t="b">
        <v>1</v>
      </c>
    </row>
    <row r="100" spans="1:11" x14ac:dyDescent="0.3">
      <c r="A100" s="15" t="s">
        <v>395</v>
      </c>
      <c r="B100" s="15">
        <v>1</v>
      </c>
      <c r="C100" s="15" t="s">
        <v>476</v>
      </c>
      <c r="D100" s="15">
        <v>5</v>
      </c>
      <c r="E100" s="15">
        <v>3</v>
      </c>
      <c r="F100" s="15">
        <v>80</v>
      </c>
      <c r="G100" s="16">
        <v>30.9</v>
      </c>
      <c r="H100" s="15">
        <f t="shared" si="1"/>
        <v>3</v>
      </c>
      <c r="I100" s="15">
        <v>1</v>
      </c>
      <c r="J100" s="15" t="b">
        <v>0</v>
      </c>
      <c r="K100" s="15" t="b">
        <v>1</v>
      </c>
    </row>
    <row r="101" spans="1:11" x14ac:dyDescent="0.3">
      <c r="A101" s="15" t="s">
        <v>395</v>
      </c>
      <c r="B101" s="15">
        <v>1</v>
      </c>
      <c r="C101" s="15" t="s">
        <v>477</v>
      </c>
      <c r="D101" s="15">
        <v>2</v>
      </c>
      <c r="E101" s="15">
        <v>1</v>
      </c>
      <c r="F101" s="15">
        <v>137</v>
      </c>
      <c r="G101" s="16">
        <v>32.25</v>
      </c>
      <c r="H101" s="15">
        <f t="shared" si="1"/>
        <v>5</v>
      </c>
      <c r="I101" s="15">
        <v>3</v>
      </c>
      <c r="J101" s="15" t="b">
        <v>1</v>
      </c>
      <c r="K101" s="15" t="b">
        <v>1</v>
      </c>
    </row>
    <row r="102" spans="1:11" x14ac:dyDescent="0.3">
      <c r="A102" s="15" t="s">
        <v>395</v>
      </c>
      <c r="B102" s="15">
        <v>1</v>
      </c>
      <c r="C102" s="15" t="s">
        <v>477</v>
      </c>
      <c r="D102" s="15">
        <v>2</v>
      </c>
      <c r="E102" s="15">
        <v>2</v>
      </c>
      <c r="F102" s="15">
        <v>132</v>
      </c>
      <c r="G102" s="16">
        <v>32.25</v>
      </c>
      <c r="H102" s="15">
        <f t="shared" si="1"/>
        <v>5</v>
      </c>
      <c r="I102" s="15">
        <v>3</v>
      </c>
      <c r="J102" s="15" t="b">
        <v>1</v>
      </c>
      <c r="K102" s="15" t="b">
        <v>1</v>
      </c>
    </row>
    <row r="103" spans="1:11" x14ac:dyDescent="0.3">
      <c r="A103" s="15" t="s">
        <v>395</v>
      </c>
      <c r="B103" s="15">
        <v>1</v>
      </c>
      <c r="C103" s="15" t="s">
        <v>477</v>
      </c>
      <c r="D103" s="15">
        <v>2</v>
      </c>
      <c r="E103" s="15">
        <v>3</v>
      </c>
      <c r="F103" s="15">
        <v>146</v>
      </c>
      <c r="G103" s="16">
        <v>32.25</v>
      </c>
      <c r="H103" s="15">
        <f t="shared" si="1"/>
        <v>5</v>
      </c>
      <c r="I103" s="15">
        <v>3</v>
      </c>
      <c r="J103" s="15" t="b">
        <v>1</v>
      </c>
      <c r="K103" s="15" t="b">
        <v>1</v>
      </c>
    </row>
    <row r="104" spans="1:11" x14ac:dyDescent="0.3">
      <c r="A104" s="15" t="s">
        <v>395</v>
      </c>
      <c r="B104" s="15">
        <v>1</v>
      </c>
      <c r="C104" s="15" t="s">
        <v>477</v>
      </c>
      <c r="D104" s="15">
        <v>3</v>
      </c>
      <c r="E104" s="15">
        <v>1</v>
      </c>
      <c r="F104" s="15">
        <v>16900</v>
      </c>
      <c r="G104" s="16">
        <v>32.25</v>
      </c>
      <c r="H104" s="15">
        <f t="shared" si="1"/>
        <v>525</v>
      </c>
      <c r="I104" s="15">
        <v>145</v>
      </c>
      <c r="J104" s="15" t="b">
        <v>1</v>
      </c>
      <c r="K104" s="15" t="b">
        <v>1</v>
      </c>
    </row>
    <row r="105" spans="1:11" x14ac:dyDescent="0.3">
      <c r="A105" s="15" t="s">
        <v>395</v>
      </c>
      <c r="B105" s="15">
        <v>1</v>
      </c>
      <c r="C105" s="15" t="s">
        <v>477</v>
      </c>
      <c r="D105" s="15">
        <v>3</v>
      </c>
      <c r="E105" s="15">
        <v>2</v>
      </c>
      <c r="F105" s="15">
        <v>15464</v>
      </c>
      <c r="G105" s="16">
        <v>32.25</v>
      </c>
      <c r="H105" s="15">
        <f t="shared" si="1"/>
        <v>480</v>
      </c>
      <c r="I105" s="15">
        <v>145</v>
      </c>
      <c r="J105" s="15" t="b">
        <v>1</v>
      </c>
      <c r="K105" s="15" t="b">
        <v>1</v>
      </c>
    </row>
    <row r="106" spans="1:11" x14ac:dyDescent="0.3">
      <c r="A106" s="15" t="s">
        <v>395</v>
      </c>
      <c r="B106" s="15">
        <v>1</v>
      </c>
      <c r="C106" s="15" t="s">
        <v>477</v>
      </c>
      <c r="D106" s="15">
        <v>3</v>
      </c>
      <c r="E106" s="15">
        <v>3</v>
      </c>
      <c r="F106" s="15">
        <v>15595</v>
      </c>
      <c r="G106" s="16">
        <v>32.25</v>
      </c>
      <c r="H106" s="15">
        <f t="shared" si="1"/>
        <v>484</v>
      </c>
      <c r="I106" s="15">
        <v>145</v>
      </c>
      <c r="J106" s="15" t="b">
        <v>1</v>
      </c>
      <c r="K106" s="15" t="b">
        <v>1</v>
      </c>
    </row>
    <row r="107" spans="1:11" x14ac:dyDescent="0.3">
      <c r="A107" s="15" t="s">
        <v>395</v>
      </c>
      <c r="B107" s="15">
        <v>1</v>
      </c>
      <c r="C107" s="15" t="s">
        <v>477</v>
      </c>
      <c r="D107" s="15">
        <v>4</v>
      </c>
      <c r="E107" s="15">
        <v>1</v>
      </c>
      <c r="F107" s="15">
        <v>1193</v>
      </c>
      <c r="G107" s="16">
        <v>32.25</v>
      </c>
      <c r="H107" s="15">
        <f t="shared" si="1"/>
        <v>37</v>
      </c>
      <c r="I107" s="15">
        <v>13</v>
      </c>
      <c r="J107" s="15" t="b">
        <v>0</v>
      </c>
      <c r="K107" s="15" t="b">
        <v>1</v>
      </c>
    </row>
    <row r="108" spans="1:11" x14ac:dyDescent="0.3">
      <c r="A108" s="15" t="s">
        <v>395</v>
      </c>
      <c r="B108" s="15">
        <v>1</v>
      </c>
      <c r="C108" s="15" t="s">
        <v>477</v>
      </c>
      <c r="D108" s="15">
        <v>4</v>
      </c>
      <c r="E108" s="15">
        <v>2</v>
      </c>
      <c r="F108" s="15">
        <v>1134</v>
      </c>
      <c r="G108" s="16">
        <v>32.25</v>
      </c>
      <c r="H108" s="15">
        <f t="shared" si="1"/>
        <v>36</v>
      </c>
      <c r="I108" s="15">
        <v>13</v>
      </c>
      <c r="J108" s="15" t="b">
        <v>0</v>
      </c>
      <c r="K108" s="15" t="b">
        <v>1</v>
      </c>
    </row>
    <row r="109" spans="1:11" x14ac:dyDescent="0.3">
      <c r="A109" s="15" t="s">
        <v>395</v>
      </c>
      <c r="B109" s="15">
        <v>1</v>
      </c>
      <c r="C109" s="15" t="s">
        <v>477</v>
      </c>
      <c r="D109" s="15">
        <v>4</v>
      </c>
      <c r="E109" s="15">
        <v>3</v>
      </c>
      <c r="F109" s="15">
        <v>1094</v>
      </c>
      <c r="G109" s="16">
        <v>32.25</v>
      </c>
      <c r="H109" s="15">
        <f t="shared" si="1"/>
        <v>34</v>
      </c>
      <c r="I109" s="15">
        <v>13</v>
      </c>
      <c r="J109" s="15" t="b">
        <v>0</v>
      </c>
      <c r="K109" s="15" t="b">
        <v>1</v>
      </c>
    </row>
    <row r="110" spans="1:11" x14ac:dyDescent="0.3">
      <c r="A110" s="15" t="s">
        <v>395</v>
      </c>
      <c r="B110" s="15">
        <v>1</v>
      </c>
      <c r="C110" s="15" t="s">
        <v>477</v>
      </c>
      <c r="D110" s="15">
        <v>5</v>
      </c>
      <c r="E110" s="15">
        <v>1</v>
      </c>
      <c r="F110" s="15">
        <v>3290</v>
      </c>
      <c r="G110" s="16">
        <v>32.25</v>
      </c>
      <c r="H110" s="15">
        <f t="shared" si="1"/>
        <v>103</v>
      </c>
      <c r="I110" s="15">
        <v>36</v>
      </c>
      <c r="J110" s="15" t="b">
        <v>0</v>
      </c>
      <c r="K110" s="15" t="b">
        <v>1</v>
      </c>
    </row>
    <row r="111" spans="1:11" x14ac:dyDescent="0.3">
      <c r="A111" s="15" t="s">
        <v>395</v>
      </c>
      <c r="B111" s="15">
        <v>1</v>
      </c>
      <c r="C111" s="15" t="s">
        <v>477</v>
      </c>
      <c r="D111" s="15">
        <v>5</v>
      </c>
      <c r="E111" s="15">
        <v>2</v>
      </c>
      <c r="F111" s="15">
        <v>3251</v>
      </c>
      <c r="G111" s="16">
        <v>32.25</v>
      </c>
      <c r="H111" s="15">
        <f t="shared" si="1"/>
        <v>101</v>
      </c>
      <c r="I111" s="15">
        <v>36</v>
      </c>
      <c r="J111" s="15" t="b">
        <v>0</v>
      </c>
      <c r="K111" s="15" t="b">
        <v>1</v>
      </c>
    </row>
    <row r="112" spans="1:11" x14ac:dyDescent="0.3">
      <c r="A112" s="15" t="s">
        <v>395</v>
      </c>
      <c r="B112" s="15">
        <v>1</v>
      </c>
      <c r="C112" s="15" t="s">
        <v>477</v>
      </c>
      <c r="D112" s="15">
        <v>5</v>
      </c>
      <c r="E112" s="15">
        <v>3</v>
      </c>
      <c r="F112" s="15">
        <v>3251</v>
      </c>
      <c r="G112" s="16">
        <v>32.25</v>
      </c>
      <c r="H112" s="15">
        <f t="shared" si="1"/>
        <v>101</v>
      </c>
      <c r="I112" s="15">
        <v>36</v>
      </c>
      <c r="J112" s="15" t="b">
        <v>0</v>
      </c>
      <c r="K112" s="15" t="b">
        <v>1</v>
      </c>
    </row>
    <row r="113" spans="1:11" x14ac:dyDescent="0.3">
      <c r="A113" s="15" t="s">
        <v>395</v>
      </c>
      <c r="B113" s="15">
        <v>1</v>
      </c>
      <c r="C113" s="15" t="s">
        <v>478</v>
      </c>
      <c r="D113" s="15">
        <v>1</v>
      </c>
      <c r="E113" s="15">
        <v>1</v>
      </c>
      <c r="F113" s="15">
        <v>14710</v>
      </c>
      <c r="G113" s="16">
        <v>32.6</v>
      </c>
      <c r="H113" s="15">
        <f t="shared" si="1"/>
        <v>452</v>
      </c>
      <c r="I113" s="15">
        <v>282</v>
      </c>
      <c r="J113" s="15" t="b">
        <v>1</v>
      </c>
      <c r="K113" s="15" t="b">
        <v>1</v>
      </c>
    </row>
    <row r="114" spans="1:11" x14ac:dyDescent="0.3">
      <c r="A114" s="15" t="s">
        <v>395</v>
      </c>
      <c r="B114" s="15">
        <v>1</v>
      </c>
      <c r="C114" s="15" t="s">
        <v>478</v>
      </c>
      <c r="D114" s="15">
        <v>1</v>
      </c>
      <c r="E114" s="15">
        <v>2</v>
      </c>
      <c r="F114" s="15">
        <v>13818</v>
      </c>
      <c r="G114" s="16">
        <v>32.6</v>
      </c>
      <c r="H114" s="15">
        <f t="shared" si="1"/>
        <v>424</v>
      </c>
      <c r="I114" s="15">
        <v>282</v>
      </c>
      <c r="J114" s="15" t="b">
        <v>1</v>
      </c>
      <c r="K114" s="15" t="b">
        <v>1</v>
      </c>
    </row>
    <row r="115" spans="1:11" x14ac:dyDescent="0.3">
      <c r="A115" s="15" t="s">
        <v>395</v>
      </c>
      <c r="B115" s="15">
        <v>1</v>
      </c>
      <c r="C115" s="15" t="s">
        <v>478</v>
      </c>
      <c r="D115" s="15">
        <v>1</v>
      </c>
      <c r="E115" s="15">
        <v>3</v>
      </c>
      <c r="F115" s="15">
        <v>13896</v>
      </c>
      <c r="G115" s="16">
        <v>32.6</v>
      </c>
      <c r="H115" s="15">
        <f t="shared" si="1"/>
        <v>427</v>
      </c>
      <c r="I115" s="15">
        <v>282</v>
      </c>
      <c r="J115" s="15" t="b">
        <v>1</v>
      </c>
      <c r="K115" s="15" t="b">
        <v>1</v>
      </c>
    </row>
    <row r="116" spans="1:11" x14ac:dyDescent="0.3">
      <c r="A116" s="15" t="s">
        <v>395</v>
      </c>
      <c r="B116" s="15">
        <v>1</v>
      </c>
      <c r="C116" s="15" t="s">
        <v>478</v>
      </c>
      <c r="D116" s="15">
        <v>2</v>
      </c>
      <c r="E116" s="15">
        <v>1</v>
      </c>
      <c r="F116" s="15">
        <v>3810</v>
      </c>
      <c r="G116" s="16">
        <v>32.6</v>
      </c>
      <c r="H116" s="15">
        <f t="shared" si="1"/>
        <v>117</v>
      </c>
      <c r="I116" s="15">
        <v>81</v>
      </c>
      <c r="J116" s="15" t="b">
        <v>1</v>
      </c>
      <c r="K116" s="15" t="b">
        <v>1</v>
      </c>
    </row>
    <row r="117" spans="1:11" x14ac:dyDescent="0.3">
      <c r="A117" s="15" t="s">
        <v>395</v>
      </c>
      <c r="B117" s="15">
        <v>1</v>
      </c>
      <c r="C117" s="15" t="s">
        <v>478</v>
      </c>
      <c r="D117" s="15">
        <v>2</v>
      </c>
      <c r="E117" s="15">
        <v>2</v>
      </c>
      <c r="F117" s="15">
        <v>3542</v>
      </c>
      <c r="G117" s="16">
        <v>32.6</v>
      </c>
      <c r="H117" s="15">
        <f t="shared" si="1"/>
        <v>109</v>
      </c>
      <c r="I117" s="15">
        <v>81</v>
      </c>
      <c r="J117" s="15" t="b">
        <v>1</v>
      </c>
      <c r="K117" s="15" t="b">
        <v>1</v>
      </c>
    </row>
    <row r="118" spans="1:11" x14ac:dyDescent="0.3">
      <c r="A118" s="15" t="s">
        <v>395</v>
      </c>
      <c r="B118" s="15">
        <v>1</v>
      </c>
      <c r="C118" s="15" t="s">
        <v>478</v>
      </c>
      <c r="D118" s="15">
        <v>2</v>
      </c>
      <c r="E118" s="15">
        <v>3</v>
      </c>
      <c r="F118" s="15">
        <v>3701</v>
      </c>
      <c r="G118" s="16">
        <v>32.6</v>
      </c>
      <c r="H118" s="15">
        <f t="shared" si="1"/>
        <v>114</v>
      </c>
      <c r="I118" s="15">
        <v>81</v>
      </c>
      <c r="J118" s="15" t="b">
        <v>1</v>
      </c>
      <c r="K118" s="15" t="b">
        <v>1</v>
      </c>
    </row>
    <row r="119" spans="1:11" x14ac:dyDescent="0.3">
      <c r="A119" s="15" t="s">
        <v>395</v>
      </c>
      <c r="B119" s="15">
        <v>1</v>
      </c>
      <c r="C119" s="15" t="s">
        <v>478</v>
      </c>
      <c r="D119" s="15">
        <v>3</v>
      </c>
      <c r="E119" s="15">
        <v>1</v>
      </c>
      <c r="F119" s="15">
        <v>2106</v>
      </c>
      <c r="G119" s="16">
        <v>32.6</v>
      </c>
      <c r="H119" s="15">
        <f t="shared" si="1"/>
        <v>65</v>
      </c>
      <c r="I119" s="15">
        <v>41</v>
      </c>
      <c r="J119" s="15" t="b">
        <v>1</v>
      </c>
      <c r="K119" s="15" t="b">
        <v>1</v>
      </c>
    </row>
    <row r="120" spans="1:11" x14ac:dyDescent="0.3">
      <c r="A120" s="15" t="s">
        <v>395</v>
      </c>
      <c r="B120" s="15">
        <v>1</v>
      </c>
      <c r="C120" s="15" t="s">
        <v>478</v>
      </c>
      <c r="D120" s="15">
        <v>3</v>
      </c>
      <c r="E120" s="15">
        <v>2</v>
      </c>
      <c r="F120" s="15">
        <v>2026</v>
      </c>
      <c r="G120" s="16">
        <v>32.6</v>
      </c>
      <c r="H120" s="15">
        <f t="shared" si="1"/>
        <v>63</v>
      </c>
      <c r="I120" s="15">
        <v>41</v>
      </c>
      <c r="J120" s="15" t="b">
        <v>1</v>
      </c>
      <c r="K120" s="15" t="b">
        <v>1</v>
      </c>
    </row>
    <row r="121" spans="1:11" x14ac:dyDescent="0.3">
      <c r="A121" s="15" t="s">
        <v>395</v>
      </c>
      <c r="B121" s="15">
        <v>1</v>
      </c>
      <c r="C121" s="15" t="s">
        <v>478</v>
      </c>
      <c r="D121" s="15">
        <v>3</v>
      </c>
      <c r="E121" s="15">
        <v>3</v>
      </c>
      <c r="F121" s="15">
        <v>1967</v>
      </c>
      <c r="G121" s="16">
        <v>32.6</v>
      </c>
      <c r="H121" s="15">
        <f t="shared" si="1"/>
        <v>61</v>
      </c>
      <c r="I121" s="15">
        <v>41</v>
      </c>
      <c r="J121" s="15" t="b">
        <v>1</v>
      </c>
      <c r="K121" s="15" t="b">
        <v>1</v>
      </c>
    </row>
    <row r="122" spans="1:11" x14ac:dyDescent="0.3">
      <c r="A122" s="15" t="s">
        <v>395</v>
      </c>
      <c r="B122" s="15">
        <v>1</v>
      </c>
      <c r="C122" s="15" t="s">
        <v>478</v>
      </c>
      <c r="D122" s="15">
        <v>4</v>
      </c>
      <c r="E122" s="15">
        <v>1</v>
      </c>
      <c r="F122" s="15">
        <v>310</v>
      </c>
      <c r="G122" s="16">
        <v>32.6</v>
      </c>
      <c r="H122" s="15">
        <f t="shared" si="1"/>
        <v>10</v>
      </c>
      <c r="I122" s="15">
        <v>2</v>
      </c>
      <c r="J122" s="15" t="b">
        <v>0</v>
      </c>
      <c r="K122" s="15" t="b">
        <v>1</v>
      </c>
    </row>
    <row r="123" spans="1:11" x14ac:dyDescent="0.3">
      <c r="A123" s="15" t="s">
        <v>395</v>
      </c>
      <c r="B123" s="15">
        <v>1</v>
      </c>
      <c r="C123" s="15" t="s">
        <v>478</v>
      </c>
      <c r="D123" s="15">
        <v>4</v>
      </c>
      <c r="E123" s="15">
        <v>2</v>
      </c>
      <c r="F123" s="15">
        <v>313</v>
      </c>
      <c r="G123" s="16">
        <v>32.6</v>
      </c>
      <c r="H123" s="15">
        <f t="shared" si="1"/>
        <v>10</v>
      </c>
      <c r="I123" s="15">
        <v>2</v>
      </c>
      <c r="J123" s="15" t="b">
        <v>0</v>
      </c>
      <c r="K123" s="15" t="b">
        <v>1</v>
      </c>
    </row>
    <row r="124" spans="1:11" x14ac:dyDescent="0.3">
      <c r="A124" s="15" t="s">
        <v>395</v>
      </c>
      <c r="B124" s="15">
        <v>1</v>
      </c>
      <c r="C124" s="15" t="s">
        <v>478</v>
      </c>
      <c r="D124" s="15">
        <v>4</v>
      </c>
      <c r="E124" s="15">
        <v>3</v>
      </c>
      <c r="F124" s="15">
        <v>338</v>
      </c>
      <c r="G124" s="16">
        <v>32.6</v>
      </c>
      <c r="H124" s="15">
        <f t="shared" si="1"/>
        <v>11</v>
      </c>
      <c r="I124" s="15">
        <v>2</v>
      </c>
      <c r="J124" s="15" t="b">
        <v>0</v>
      </c>
      <c r="K124" s="15" t="b">
        <v>1</v>
      </c>
    </row>
    <row r="125" spans="1:11" x14ac:dyDescent="0.3">
      <c r="A125" s="15" t="s">
        <v>395</v>
      </c>
      <c r="B125" s="15">
        <v>1</v>
      </c>
      <c r="C125" s="15" t="s">
        <v>479</v>
      </c>
      <c r="D125" s="15">
        <v>1</v>
      </c>
      <c r="E125" s="15">
        <v>1</v>
      </c>
      <c r="F125" s="15">
        <v>4765</v>
      </c>
      <c r="G125" s="16">
        <v>30.61</v>
      </c>
      <c r="H125" s="15">
        <f t="shared" si="1"/>
        <v>156</v>
      </c>
      <c r="I125" s="15">
        <v>108</v>
      </c>
      <c r="J125" s="15" t="b">
        <v>1</v>
      </c>
      <c r="K125" s="15" t="b">
        <v>1</v>
      </c>
    </row>
    <row r="126" spans="1:11" x14ac:dyDescent="0.3">
      <c r="A126" s="15" t="s">
        <v>395</v>
      </c>
      <c r="B126" s="15">
        <v>1</v>
      </c>
      <c r="C126" s="15" t="s">
        <v>479</v>
      </c>
      <c r="D126" s="15">
        <v>1</v>
      </c>
      <c r="E126" s="15">
        <v>2</v>
      </c>
      <c r="F126" s="15">
        <v>4380</v>
      </c>
      <c r="G126" s="16">
        <v>30.61</v>
      </c>
      <c r="H126" s="15">
        <f t="shared" si="1"/>
        <v>144</v>
      </c>
      <c r="I126" s="15">
        <v>108</v>
      </c>
      <c r="J126" s="15" t="b">
        <v>1</v>
      </c>
      <c r="K126" s="15" t="b">
        <v>1</v>
      </c>
    </row>
    <row r="127" spans="1:11" x14ac:dyDescent="0.3">
      <c r="A127" s="15" t="s">
        <v>395</v>
      </c>
      <c r="B127" s="15">
        <v>1</v>
      </c>
      <c r="C127" s="15" t="s">
        <v>479</v>
      </c>
      <c r="D127" s="15">
        <v>1</v>
      </c>
      <c r="E127" s="15">
        <v>3</v>
      </c>
      <c r="F127" s="15">
        <v>4427</v>
      </c>
      <c r="G127" s="16">
        <v>30.61</v>
      </c>
      <c r="H127" s="15">
        <f t="shared" si="1"/>
        <v>145</v>
      </c>
      <c r="I127" s="15">
        <v>108</v>
      </c>
      <c r="J127" s="15" t="b">
        <v>1</v>
      </c>
      <c r="K127" s="15" t="b">
        <v>1</v>
      </c>
    </row>
    <row r="128" spans="1:11" x14ac:dyDescent="0.3">
      <c r="A128" s="15" t="s">
        <v>395</v>
      </c>
      <c r="B128" s="15">
        <v>1</v>
      </c>
      <c r="C128" s="15" t="s">
        <v>479</v>
      </c>
      <c r="D128" s="15">
        <v>2</v>
      </c>
      <c r="E128" s="15">
        <v>1</v>
      </c>
      <c r="F128" s="15">
        <v>2053</v>
      </c>
      <c r="G128" s="16">
        <v>30.61</v>
      </c>
      <c r="H128" s="15">
        <f t="shared" si="1"/>
        <v>68</v>
      </c>
      <c r="I128" s="15">
        <v>52</v>
      </c>
      <c r="J128" s="15" t="b">
        <v>1</v>
      </c>
      <c r="K128" s="15" t="b">
        <v>1</v>
      </c>
    </row>
    <row r="129" spans="1:11" x14ac:dyDescent="0.3">
      <c r="A129" s="15" t="s">
        <v>395</v>
      </c>
      <c r="B129" s="15">
        <v>1</v>
      </c>
      <c r="C129" s="15" t="s">
        <v>479</v>
      </c>
      <c r="D129" s="15">
        <v>2</v>
      </c>
      <c r="E129" s="15">
        <v>2</v>
      </c>
      <c r="F129" s="15">
        <v>1936</v>
      </c>
      <c r="G129" s="16">
        <v>30.61</v>
      </c>
      <c r="H129" s="15">
        <f t="shared" si="1"/>
        <v>64</v>
      </c>
      <c r="I129" s="15">
        <v>52</v>
      </c>
      <c r="J129" s="15" t="b">
        <v>1</v>
      </c>
      <c r="K129" s="15" t="b">
        <v>1</v>
      </c>
    </row>
    <row r="130" spans="1:11" x14ac:dyDescent="0.3">
      <c r="A130" s="15" t="s">
        <v>395</v>
      </c>
      <c r="B130" s="15">
        <v>1</v>
      </c>
      <c r="C130" s="15" t="s">
        <v>479</v>
      </c>
      <c r="D130" s="15">
        <v>2</v>
      </c>
      <c r="E130" s="15">
        <v>3</v>
      </c>
      <c r="F130" s="15">
        <v>1997</v>
      </c>
      <c r="G130" s="16">
        <v>30.61</v>
      </c>
      <c r="H130" s="15">
        <f t="shared" si="1"/>
        <v>66</v>
      </c>
      <c r="I130" s="15">
        <v>52</v>
      </c>
      <c r="J130" s="15" t="b">
        <v>1</v>
      </c>
      <c r="K130" s="15" t="b">
        <v>1</v>
      </c>
    </row>
    <row r="131" spans="1:11" x14ac:dyDescent="0.3">
      <c r="A131" s="15" t="s">
        <v>395</v>
      </c>
      <c r="B131" s="15">
        <v>1</v>
      </c>
      <c r="C131" s="15" t="s">
        <v>479</v>
      </c>
      <c r="D131" s="15">
        <v>3</v>
      </c>
      <c r="E131" s="15">
        <v>1</v>
      </c>
      <c r="F131" s="15">
        <v>4933</v>
      </c>
      <c r="G131" s="16">
        <v>30.61</v>
      </c>
      <c r="H131" s="15">
        <f t="shared" ref="H131:H194" si="2">ROUNDUP(F131/G131,0)</f>
        <v>162</v>
      </c>
      <c r="I131" s="15">
        <v>86</v>
      </c>
      <c r="J131" s="15" t="b">
        <v>1</v>
      </c>
      <c r="K131" s="15" t="b">
        <v>1</v>
      </c>
    </row>
    <row r="132" spans="1:11" x14ac:dyDescent="0.3">
      <c r="A132" s="15" t="s">
        <v>395</v>
      </c>
      <c r="B132" s="15">
        <v>1</v>
      </c>
      <c r="C132" s="15" t="s">
        <v>479</v>
      </c>
      <c r="D132" s="15">
        <v>3</v>
      </c>
      <c r="E132" s="15">
        <v>2</v>
      </c>
      <c r="F132" s="15">
        <v>4857</v>
      </c>
      <c r="G132" s="16">
        <v>30.61</v>
      </c>
      <c r="H132" s="15">
        <f t="shared" si="2"/>
        <v>159</v>
      </c>
      <c r="I132" s="15">
        <v>86</v>
      </c>
      <c r="J132" s="15" t="b">
        <v>1</v>
      </c>
      <c r="K132" s="15" t="b">
        <v>1</v>
      </c>
    </row>
    <row r="133" spans="1:11" x14ac:dyDescent="0.3">
      <c r="A133" s="15" t="s">
        <v>395</v>
      </c>
      <c r="B133" s="15">
        <v>1</v>
      </c>
      <c r="C133" s="15" t="s">
        <v>479</v>
      </c>
      <c r="D133" s="15">
        <v>3</v>
      </c>
      <c r="E133" s="15">
        <v>3</v>
      </c>
      <c r="F133" s="15">
        <v>5041</v>
      </c>
      <c r="G133" s="16">
        <v>30.61</v>
      </c>
      <c r="H133" s="15">
        <f t="shared" si="2"/>
        <v>165</v>
      </c>
      <c r="I133" s="15">
        <v>86</v>
      </c>
      <c r="J133" s="15" t="b">
        <v>1</v>
      </c>
      <c r="K133" s="15" t="b">
        <v>1</v>
      </c>
    </row>
    <row r="134" spans="1:11" x14ac:dyDescent="0.3">
      <c r="A134" s="15" t="s">
        <v>395</v>
      </c>
      <c r="B134" s="15">
        <v>1</v>
      </c>
      <c r="C134" s="15" t="s">
        <v>479</v>
      </c>
      <c r="D134" s="15">
        <v>4</v>
      </c>
      <c r="E134" s="15">
        <v>1</v>
      </c>
      <c r="F134" s="15">
        <v>277</v>
      </c>
      <c r="G134" s="16">
        <v>30.61</v>
      </c>
      <c r="H134" s="15">
        <f t="shared" si="2"/>
        <v>10</v>
      </c>
      <c r="I134" s="15">
        <v>4</v>
      </c>
      <c r="J134" s="15" t="b">
        <v>0</v>
      </c>
      <c r="K134" s="15" t="b">
        <v>1</v>
      </c>
    </row>
    <row r="135" spans="1:11" x14ac:dyDescent="0.3">
      <c r="A135" s="15" t="s">
        <v>395</v>
      </c>
      <c r="B135" s="15">
        <v>1</v>
      </c>
      <c r="C135" s="15" t="s">
        <v>479</v>
      </c>
      <c r="D135" s="15">
        <v>4</v>
      </c>
      <c r="E135" s="15">
        <v>2</v>
      </c>
      <c r="F135" s="15">
        <v>375</v>
      </c>
      <c r="G135" s="16">
        <v>30.61</v>
      </c>
      <c r="H135" s="15">
        <f t="shared" si="2"/>
        <v>13</v>
      </c>
      <c r="I135" s="15">
        <v>4</v>
      </c>
      <c r="J135" s="15" t="b">
        <v>0</v>
      </c>
      <c r="K135" s="15" t="b">
        <v>1</v>
      </c>
    </row>
    <row r="136" spans="1:11" x14ac:dyDescent="0.3">
      <c r="A136" s="15" t="s">
        <v>395</v>
      </c>
      <c r="B136" s="15">
        <v>1</v>
      </c>
      <c r="C136" s="15" t="s">
        <v>479</v>
      </c>
      <c r="D136" s="15">
        <v>4</v>
      </c>
      <c r="E136" s="15">
        <v>3</v>
      </c>
      <c r="F136" s="15">
        <v>387</v>
      </c>
      <c r="G136" s="16">
        <v>30.61</v>
      </c>
      <c r="H136" s="15">
        <f t="shared" si="2"/>
        <v>13</v>
      </c>
      <c r="I136" s="15">
        <v>4</v>
      </c>
      <c r="J136" s="15" t="b">
        <v>0</v>
      </c>
      <c r="K136" s="15" t="b">
        <v>1</v>
      </c>
    </row>
    <row r="137" spans="1:11" x14ac:dyDescent="0.3">
      <c r="A137" s="15" t="s">
        <v>395</v>
      </c>
      <c r="B137" s="15">
        <v>1</v>
      </c>
      <c r="C137" s="15" t="s">
        <v>479</v>
      </c>
      <c r="D137" s="15">
        <v>5</v>
      </c>
      <c r="E137" s="15">
        <v>1</v>
      </c>
      <c r="F137" s="15">
        <v>178</v>
      </c>
      <c r="G137" s="16">
        <v>30.61</v>
      </c>
      <c r="H137" s="15">
        <f t="shared" si="2"/>
        <v>6</v>
      </c>
      <c r="I137" s="15">
        <v>2</v>
      </c>
      <c r="J137" s="15" t="b">
        <v>0</v>
      </c>
      <c r="K137" s="15" t="b">
        <v>1</v>
      </c>
    </row>
    <row r="138" spans="1:11" x14ac:dyDescent="0.3">
      <c r="A138" s="15" t="s">
        <v>395</v>
      </c>
      <c r="B138" s="15">
        <v>1</v>
      </c>
      <c r="C138" s="15" t="s">
        <v>479</v>
      </c>
      <c r="D138" s="15">
        <v>5</v>
      </c>
      <c r="E138" s="15">
        <v>2</v>
      </c>
      <c r="F138" s="15">
        <v>197</v>
      </c>
      <c r="G138" s="16">
        <v>30.61</v>
      </c>
      <c r="H138" s="15">
        <f t="shared" si="2"/>
        <v>7</v>
      </c>
      <c r="I138" s="15">
        <v>2</v>
      </c>
      <c r="J138" s="15" t="b">
        <v>0</v>
      </c>
      <c r="K138" s="15" t="b">
        <v>1</v>
      </c>
    </row>
    <row r="139" spans="1:11" x14ac:dyDescent="0.3">
      <c r="A139" s="15" t="s">
        <v>395</v>
      </c>
      <c r="B139" s="15">
        <v>1</v>
      </c>
      <c r="C139" s="15" t="s">
        <v>479</v>
      </c>
      <c r="D139" s="15">
        <v>5</v>
      </c>
      <c r="E139" s="15">
        <v>3</v>
      </c>
      <c r="F139" s="15">
        <v>184</v>
      </c>
      <c r="G139" s="16">
        <v>30.61</v>
      </c>
      <c r="H139" s="15">
        <f t="shared" si="2"/>
        <v>7</v>
      </c>
      <c r="I139" s="15">
        <v>2</v>
      </c>
      <c r="J139" s="15" t="b">
        <v>0</v>
      </c>
      <c r="K139" s="15" t="b">
        <v>1</v>
      </c>
    </row>
    <row r="140" spans="1:11" x14ac:dyDescent="0.3">
      <c r="A140" s="15" t="s">
        <v>395</v>
      </c>
      <c r="B140" s="15">
        <v>1</v>
      </c>
      <c r="C140" s="15" t="s">
        <v>480</v>
      </c>
      <c r="D140" s="15">
        <v>2</v>
      </c>
      <c r="E140" s="15">
        <v>1</v>
      </c>
      <c r="F140" s="15">
        <v>634</v>
      </c>
      <c r="G140" s="16">
        <v>32.68</v>
      </c>
      <c r="H140" s="15">
        <f t="shared" si="2"/>
        <v>20</v>
      </c>
      <c r="I140" s="15">
        <v>10</v>
      </c>
      <c r="J140" s="15" t="b">
        <v>1</v>
      </c>
      <c r="K140" s="15" t="b">
        <v>1</v>
      </c>
    </row>
    <row r="141" spans="1:11" x14ac:dyDescent="0.3">
      <c r="A141" s="15" t="s">
        <v>395</v>
      </c>
      <c r="B141" s="15">
        <v>1</v>
      </c>
      <c r="C141" s="15" t="s">
        <v>480</v>
      </c>
      <c r="D141" s="15">
        <v>2</v>
      </c>
      <c r="E141" s="15">
        <v>2</v>
      </c>
      <c r="F141" s="15">
        <v>539</v>
      </c>
      <c r="G141" s="16">
        <v>32.68</v>
      </c>
      <c r="H141" s="15">
        <f t="shared" si="2"/>
        <v>17</v>
      </c>
      <c r="I141" s="15">
        <v>10</v>
      </c>
      <c r="J141" s="15" t="b">
        <v>1</v>
      </c>
      <c r="K141" s="15" t="b">
        <v>1</v>
      </c>
    </row>
    <row r="142" spans="1:11" x14ac:dyDescent="0.3">
      <c r="A142" s="15" t="s">
        <v>395</v>
      </c>
      <c r="B142" s="15">
        <v>1</v>
      </c>
      <c r="C142" s="15" t="s">
        <v>480</v>
      </c>
      <c r="D142" s="15">
        <v>2</v>
      </c>
      <c r="E142" s="15">
        <v>3</v>
      </c>
      <c r="F142" s="15">
        <v>491</v>
      </c>
      <c r="G142" s="16">
        <v>32.68</v>
      </c>
      <c r="H142" s="15">
        <f t="shared" si="2"/>
        <v>16</v>
      </c>
      <c r="I142" s="15">
        <v>10</v>
      </c>
      <c r="J142" s="15" t="b">
        <v>1</v>
      </c>
      <c r="K142" s="15" t="b">
        <v>1</v>
      </c>
    </row>
    <row r="143" spans="1:11" x14ac:dyDescent="0.3">
      <c r="A143" s="15" t="s">
        <v>395</v>
      </c>
      <c r="B143" s="15">
        <v>1</v>
      </c>
      <c r="C143" s="15" t="s">
        <v>480</v>
      </c>
      <c r="D143" s="15">
        <v>3</v>
      </c>
      <c r="E143" s="15">
        <v>1</v>
      </c>
      <c r="F143" s="15">
        <v>7326</v>
      </c>
      <c r="G143" s="16">
        <v>32.68</v>
      </c>
      <c r="H143" s="15">
        <f t="shared" si="2"/>
        <v>225</v>
      </c>
      <c r="I143" s="15">
        <v>84</v>
      </c>
      <c r="J143" s="15" t="b">
        <v>1</v>
      </c>
      <c r="K143" s="15" t="b">
        <v>1</v>
      </c>
    </row>
    <row r="144" spans="1:11" x14ac:dyDescent="0.3">
      <c r="A144" s="15" t="s">
        <v>395</v>
      </c>
      <c r="B144" s="15">
        <v>1</v>
      </c>
      <c r="C144" s="15" t="s">
        <v>480</v>
      </c>
      <c r="D144" s="15">
        <v>3</v>
      </c>
      <c r="E144" s="15">
        <v>2</v>
      </c>
      <c r="F144" s="15">
        <v>6719</v>
      </c>
      <c r="G144" s="16">
        <v>32.68</v>
      </c>
      <c r="H144" s="15">
        <f t="shared" si="2"/>
        <v>206</v>
      </c>
      <c r="I144" s="15">
        <v>84</v>
      </c>
      <c r="J144" s="15" t="b">
        <v>1</v>
      </c>
      <c r="K144" s="15" t="b">
        <v>1</v>
      </c>
    </row>
    <row r="145" spans="1:11" x14ac:dyDescent="0.3">
      <c r="A145" s="15" t="s">
        <v>395</v>
      </c>
      <c r="B145" s="15">
        <v>1</v>
      </c>
      <c r="C145" s="15" t="s">
        <v>480</v>
      </c>
      <c r="D145" s="15">
        <v>3</v>
      </c>
      <c r="E145" s="15">
        <v>3</v>
      </c>
      <c r="F145" s="15">
        <v>6629</v>
      </c>
      <c r="G145" s="16">
        <v>32.68</v>
      </c>
      <c r="H145" s="15">
        <f t="shared" si="2"/>
        <v>203</v>
      </c>
      <c r="I145" s="15">
        <v>84</v>
      </c>
      <c r="J145" s="15" t="b">
        <v>1</v>
      </c>
      <c r="K145" s="15" t="b">
        <v>1</v>
      </c>
    </row>
    <row r="146" spans="1:11" x14ac:dyDescent="0.3">
      <c r="A146" s="15" t="s">
        <v>395</v>
      </c>
      <c r="B146" s="15">
        <v>1</v>
      </c>
      <c r="C146" s="15" t="s">
        <v>480</v>
      </c>
      <c r="D146" s="15">
        <v>4</v>
      </c>
      <c r="E146" s="15">
        <v>1</v>
      </c>
      <c r="F146" s="15">
        <v>267</v>
      </c>
      <c r="G146" s="16">
        <v>32.68</v>
      </c>
      <c r="H146" s="15">
        <f t="shared" si="2"/>
        <v>9</v>
      </c>
      <c r="I146" s="15">
        <v>8</v>
      </c>
      <c r="J146" s="15" t="b">
        <v>0</v>
      </c>
      <c r="K146" s="15" t="b">
        <v>1</v>
      </c>
    </row>
    <row r="147" spans="1:11" x14ac:dyDescent="0.3">
      <c r="A147" s="15" t="s">
        <v>395</v>
      </c>
      <c r="B147" s="15">
        <v>1</v>
      </c>
      <c r="C147" s="15" t="s">
        <v>480</v>
      </c>
      <c r="D147" s="15">
        <v>4</v>
      </c>
      <c r="E147" s="15">
        <v>2</v>
      </c>
      <c r="F147" s="15">
        <v>265</v>
      </c>
      <c r="G147" s="16">
        <v>32.68</v>
      </c>
      <c r="H147" s="15">
        <f t="shared" si="2"/>
        <v>9</v>
      </c>
      <c r="I147" s="15">
        <v>8</v>
      </c>
      <c r="J147" s="15" t="b">
        <v>0</v>
      </c>
      <c r="K147" s="15" t="b">
        <v>1</v>
      </c>
    </row>
    <row r="148" spans="1:11" x14ac:dyDescent="0.3">
      <c r="A148" s="15" t="s">
        <v>395</v>
      </c>
      <c r="B148" s="15">
        <v>1</v>
      </c>
      <c r="C148" s="15" t="s">
        <v>480</v>
      </c>
      <c r="D148" s="15">
        <v>4</v>
      </c>
      <c r="E148" s="15">
        <v>3</v>
      </c>
      <c r="F148" s="15">
        <v>270</v>
      </c>
      <c r="G148" s="16">
        <v>32.68</v>
      </c>
      <c r="H148" s="15">
        <f t="shared" si="2"/>
        <v>9</v>
      </c>
      <c r="I148" s="15">
        <v>8</v>
      </c>
      <c r="J148" s="15" t="b">
        <v>0</v>
      </c>
      <c r="K148" s="15" t="b">
        <v>1</v>
      </c>
    </row>
    <row r="149" spans="1:11" x14ac:dyDescent="0.3">
      <c r="A149" s="15" t="s">
        <v>395</v>
      </c>
      <c r="B149" s="15">
        <v>1</v>
      </c>
      <c r="C149" s="15" t="s">
        <v>480</v>
      </c>
      <c r="D149" s="15">
        <v>5</v>
      </c>
      <c r="E149" s="15">
        <v>1</v>
      </c>
      <c r="F149" s="15">
        <v>482</v>
      </c>
      <c r="G149" s="16">
        <v>32.68</v>
      </c>
      <c r="H149" s="15">
        <f t="shared" si="2"/>
        <v>15</v>
      </c>
      <c r="I149" s="15">
        <v>9</v>
      </c>
      <c r="J149" s="15" t="b">
        <v>0</v>
      </c>
      <c r="K149" s="15" t="b">
        <v>1</v>
      </c>
    </row>
    <row r="150" spans="1:11" x14ac:dyDescent="0.3">
      <c r="A150" s="15" t="s">
        <v>395</v>
      </c>
      <c r="B150" s="15">
        <v>1</v>
      </c>
      <c r="C150" s="15" t="s">
        <v>480</v>
      </c>
      <c r="D150" s="15">
        <v>5</v>
      </c>
      <c r="E150" s="15">
        <v>2</v>
      </c>
      <c r="F150" s="15">
        <v>478</v>
      </c>
      <c r="G150" s="16">
        <v>32.68</v>
      </c>
      <c r="H150" s="15">
        <f t="shared" si="2"/>
        <v>15</v>
      </c>
      <c r="I150" s="15">
        <v>9</v>
      </c>
      <c r="J150" s="15" t="b">
        <v>0</v>
      </c>
      <c r="K150" s="15" t="b">
        <v>1</v>
      </c>
    </row>
    <row r="151" spans="1:11" x14ac:dyDescent="0.3">
      <c r="A151" s="15" t="s">
        <v>395</v>
      </c>
      <c r="B151" s="15">
        <v>1</v>
      </c>
      <c r="C151" s="15" t="s">
        <v>480</v>
      </c>
      <c r="D151" s="15">
        <v>5</v>
      </c>
      <c r="E151" s="15">
        <v>3</v>
      </c>
      <c r="F151" s="15">
        <v>465</v>
      </c>
      <c r="G151" s="16">
        <v>32.68</v>
      </c>
      <c r="H151" s="15">
        <f t="shared" si="2"/>
        <v>15</v>
      </c>
      <c r="I151" s="15">
        <v>9</v>
      </c>
      <c r="J151" s="15" t="b">
        <v>0</v>
      </c>
      <c r="K151" s="15" t="b">
        <v>1</v>
      </c>
    </row>
    <row r="152" spans="1:11" x14ac:dyDescent="0.3">
      <c r="A152" s="15" t="s">
        <v>401</v>
      </c>
      <c r="B152" s="15">
        <v>2</v>
      </c>
      <c r="C152" s="15" t="s">
        <v>481</v>
      </c>
      <c r="D152" s="15">
        <v>1</v>
      </c>
      <c r="E152" s="15">
        <v>1</v>
      </c>
      <c r="F152" s="15">
        <v>2336</v>
      </c>
      <c r="G152" s="16">
        <v>31.83</v>
      </c>
      <c r="H152" s="15">
        <f t="shared" si="2"/>
        <v>74</v>
      </c>
      <c r="I152" s="15">
        <v>15</v>
      </c>
      <c r="J152" s="15" t="b">
        <v>1</v>
      </c>
      <c r="K152" s="15" t="b">
        <v>1</v>
      </c>
    </row>
    <row r="153" spans="1:11" x14ac:dyDescent="0.3">
      <c r="A153" s="15" t="s">
        <v>401</v>
      </c>
      <c r="B153" s="15">
        <v>2</v>
      </c>
      <c r="C153" s="15" t="s">
        <v>481</v>
      </c>
      <c r="D153" s="15">
        <v>1</v>
      </c>
      <c r="E153" s="15">
        <v>2</v>
      </c>
      <c r="F153" s="15">
        <v>2312</v>
      </c>
      <c r="G153" s="16">
        <v>31.83</v>
      </c>
      <c r="H153" s="15">
        <f t="shared" si="2"/>
        <v>73</v>
      </c>
      <c r="I153" s="15">
        <v>15</v>
      </c>
      <c r="J153" s="15" t="b">
        <v>1</v>
      </c>
      <c r="K153" s="15" t="b">
        <v>1</v>
      </c>
    </row>
    <row r="154" spans="1:11" x14ac:dyDescent="0.3">
      <c r="A154" s="15" t="s">
        <v>401</v>
      </c>
      <c r="B154" s="15">
        <v>2</v>
      </c>
      <c r="C154" s="15" t="s">
        <v>481</v>
      </c>
      <c r="D154" s="15">
        <v>1</v>
      </c>
      <c r="E154" s="15">
        <v>3</v>
      </c>
      <c r="F154" s="15">
        <v>2247</v>
      </c>
      <c r="G154" s="16">
        <v>31.83</v>
      </c>
      <c r="H154" s="15">
        <f t="shared" si="2"/>
        <v>71</v>
      </c>
      <c r="I154" s="15">
        <v>15</v>
      </c>
      <c r="J154" s="15" t="b">
        <v>1</v>
      </c>
      <c r="K154" s="15" t="b">
        <v>1</v>
      </c>
    </row>
    <row r="155" spans="1:11" x14ac:dyDescent="0.3">
      <c r="A155" s="15" t="s">
        <v>401</v>
      </c>
      <c r="B155" s="15">
        <v>2</v>
      </c>
      <c r="C155" s="15" t="s">
        <v>481</v>
      </c>
      <c r="D155" s="15">
        <v>2</v>
      </c>
      <c r="E155" s="15">
        <v>1</v>
      </c>
      <c r="F155" s="15">
        <v>3188</v>
      </c>
      <c r="G155" s="16">
        <v>31.83</v>
      </c>
      <c r="H155" s="15">
        <f t="shared" si="2"/>
        <v>101</v>
      </c>
      <c r="I155" s="15">
        <v>23</v>
      </c>
      <c r="J155" s="15" t="b">
        <v>1</v>
      </c>
      <c r="K155" s="15" t="b">
        <v>1</v>
      </c>
    </row>
    <row r="156" spans="1:11" x14ac:dyDescent="0.3">
      <c r="A156" s="15" t="s">
        <v>401</v>
      </c>
      <c r="B156" s="15">
        <v>2</v>
      </c>
      <c r="C156" s="15" t="s">
        <v>481</v>
      </c>
      <c r="D156" s="15">
        <v>2</v>
      </c>
      <c r="E156" s="15">
        <v>2</v>
      </c>
      <c r="F156" s="15">
        <v>3004</v>
      </c>
      <c r="G156" s="16">
        <v>31.83</v>
      </c>
      <c r="H156" s="15">
        <f t="shared" si="2"/>
        <v>95</v>
      </c>
      <c r="I156" s="15">
        <v>23</v>
      </c>
      <c r="J156" s="15" t="b">
        <v>1</v>
      </c>
      <c r="K156" s="15" t="b">
        <v>1</v>
      </c>
    </row>
    <row r="157" spans="1:11" x14ac:dyDescent="0.3">
      <c r="A157" s="15" t="s">
        <v>401</v>
      </c>
      <c r="B157" s="15">
        <v>2</v>
      </c>
      <c r="C157" s="15" t="s">
        <v>481</v>
      </c>
      <c r="D157" s="15">
        <v>2</v>
      </c>
      <c r="E157" s="15">
        <v>3</v>
      </c>
      <c r="F157" s="15">
        <v>2937</v>
      </c>
      <c r="G157" s="16">
        <v>31.83</v>
      </c>
      <c r="H157" s="15">
        <f t="shared" si="2"/>
        <v>93</v>
      </c>
      <c r="I157" s="15">
        <v>23</v>
      </c>
      <c r="J157" s="15" t="b">
        <v>1</v>
      </c>
      <c r="K157" s="15" t="b">
        <v>1</v>
      </c>
    </row>
    <row r="158" spans="1:11" x14ac:dyDescent="0.3">
      <c r="A158" s="15" t="s">
        <v>401</v>
      </c>
      <c r="B158" s="15">
        <v>2</v>
      </c>
      <c r="C158" s="15" t="s">
        <v>481</v>
      </c>
      <c r="D158" s="15">
        <v>3</v>
      </c>
      <c r="E158" s="15">
        <v>1</v>
      </c>
      <c r="F158" s="15">
        <v>3546</v>
      </c>
      <c r="G158" s="16">
        <v>31.83</v>
      </c>
      <c r="H158" s="15">
        <f t="shared" si="2"/>
        <v>112</v>
      </c>
      <c r="I158" s="15">
        <v>29</v>
      </c>
      <c r="J158" s="15" t="b">
        <v>1</v>
      </c>
      <c r="K158" s="15" t="b">
        <v>1</v>
      </c>
    </row>
    <row r="159" spans="1:11" x14ac:dyDescent="0.3">
      <c r="A159" s="15" t="s">
        <v>401</v>
      </c>
      <c r="B159" s="15">
        <v>2</v>
      </c>
      <c r="C159" s="15" t="s">
        <v>481</v>
      </c>
      <c r="D159" s="15">
        <v>3</v>
      </c>
      <c r="E159" s="15">
        <v>2</v>
      </c>
      <c r="F159" s="15">
        <v>3493</v>
      </c>
      <c r="G159" s="16">
        <v>31.83</v>
      </c>
      <c r="H159" s="15">
        <f t="shared" si="2"/>
        <v>110</v>
      </c>
      <c r="I159" s="15">
        <v>29</v>
      </c>
      <c r="J159" s="15" t="b">
        <v>1</v>
      </c>
      <c r="K159" s="15" t="b">
        <v>1</v>
      </c>
    </row>
    <row r="160" spans="1:11" x14ac:dyDescent="0.3">
      <c r="A160" s="15" t="s">
        <v>401</v>
      </c>
      <c r="B160" s="15">
        <v>2</v>
      </c>
      <c r="C160" s="15" t="s">
        <v>481</v>
      </c>
      <c r="D160" s="15">
        <v>3</v>
      </c>
      <c r="E160" s="15">
        <v>3</v>
      </c>
      <c r="F160" s="15">
        <v>3407</v>
      </c>
      <c r="G160" s="16">
        <v>31.83</v>
      </c>
      <c r="H160" s="15">
        <f t="shared" si="2"/>
        <v>108</v>
      </c>
      <c r="I160" s="15">
        <v>29</v>
      </c>
      <c r="J160" s="15" t="b">
        <v>1</v>
      </c>
      <c r="K160" s="15" t="b">
        <v>1</v>
      </c>
    </row>
    <row r="161" spans="1:11" x14ac:dyDescent="0.3">
      <c r="A161" s="15" t="s">
        <v>401</v>
      </c>
      <c r="B161" s="15">
        <v>2</v>
      </c>
      <c r="C161" s="15" t="s">
        <v>481</v>
      </c>
      <c r="D161" s="15">
        <v>4</v>
      </c>
      <c r="E161" s="15">
        <v>1</v>
      </c>
      <c r="F161" s="15">
        <v>395</v>
      </c>
      <c r="G161" s="16">
        <v>31.83</v>
      </c>
      <c r="H161" s="15">
        <f t="shared" si="2"/>
        <v>13</v>
      </c>
      <c r="I161" s="15">
        <v>8</v>
      </c>
      <c r="J161" s="15" t="b">
        <v>0</v>
      </c>
      <c r="K161" s="15" t="b">
        <v>1</v>
      </c>
    </row>
    <row r="162" spans="1:11" x14ac:dyDescent="0.3">
      <c r="A162" s="15" t="s">
        <v>401</v>
      </c>
      <c r="B162" s="15">
        <v>2</v>
      </c>
      <c r="C162" s="15" t="s">
        <v>481</v>
      </c>
      <c r="D162" s="15">
        <v>4</v>
      </c>
      <c r="E162" s="15">
        <v>2</v>
      </c>
      <c r="F162" s="15">
        <v>364</v>
      </c>
      <c r="G162" s="16">
        <v>31.83</v>
      </c>
      <c r="H162" s="15">
        <f t="shared" si="2"/>
        <v>12</v>
      </c>
      <c r="I162" s="15">
        <v>8</v>
      </c>
      <c r="J162" s="15" t="b">
        <v>0</v>
      </c>
      <c r="K162" s="15" t="b">
        <v>1</v>
      </c>
    </row>
    <row r="163" spans="1:11" x14ac:dyDescent="0.3">
      <c r="A163" s="15" t="s">
        <v>401</v>
      </c>
      <c r="B163" s="15">
        <v>2</v>
      </c>
      <c r="C163" s="15" t="s">
        <v>481</v>
      </c>
      <c r="D163" s="15">
        <v>4</v>
      </c>
      <c r="E163" s="15">
        <v>3</v>
      </c>
      <c r="F163" s="15">
        <v>357</v>
      </c>
      <c r="G163" s="16">
        <v>31.83</v>
      </c>
      <c r="H163" s="15">
        <f t="shared" si="2"/>
        <v>12</v>
      </c>
      <c r="I163" s="15">
        <v>8</v>
      </c>
      <c r="J163" s="15" t="b">
        <v>0</v>
      </c>
      <c r="K163" s="15" t="b">
        <v>1</v>
      </c>
    </row>
    <row r="164" spans="1:11" x14ac:dyDescent="0.3">
      <c r="A164" s="15" t="s">
        <v>401</v>
      </c>
      <c r="B164" s="15">
        <v>2</v>
      </c>
      <c r="C164" s="15" t="s">
        <v>481</v>
      </c>
      <c r="D164" s="15">
        <v>5</v>
      </c>
      <c r="E164" s="15">
        <v>1</v>
      </c>
      <c r="F164" s="15">
        <v>755</v>
      </c>
      <c r="G164" s="16">
        <v>31.83</v>
      </c>
      <c r="H164" s="15">
        <f t="shared" si="2"/>
        <v>24</v>
      </c>
      <c r="I164" s="15">
        <v>9</v>
      </c>
      <c r="J164" s="15" t="b">
        <v>0</v>
      </c>
      <c r="K164" s="15" t="b">
        <v>1</v>
      </c>
    </row>
    <row r="165" spans="1:11" x14ac:dyDescent="0.3">
      <c r="A165" s="15" t="s">
        <v>401</v>
      </c>
      <c r="B165" s="15">
        <v>2</v>
      </c>
      <c r="C165" s="15" t="s">
        <v>481</v>
      </c>
      <c r="D165" s="15">
        <v>5</v>
      </c>
      <c r="E165" s="15">
        <v>2</v>
      </c>
      <c r="F165" s="15">
        <v>811</v>
      </c>
      <c r="G165" s="16">
        <v>31.83</v>
      </c>
      <c r="H165" s="15">
        <f t="shared" si="2"/>
        <v>26</v>
      </c>
      <c r="I165" s="15">
        <v>9</v>
      </c>
      <c r="J165" s="15" t="b">
        <v>0</v>
      </c>
      <c r="K165" s="15" t="b">
        <v>1</v>
      </c>
    </row>
    <row r="166" spans="1:11" x14ac:dyDescent="0.3">
      <c r="A166" s="15" t="s">
        <v>401</v>
      </c>
      <c r="B166" s="15">
        <v>2</v>
      </c>
      <c r="C166" s="15" t="s">
        <v>481</v>
      </c>
      <c r="D166" s="15">
        <v>5</v>
      </c>
      <c r="E166" s="15">
        <v>3</v>
      </c>
      <c r="F166" s="15">
        <v>769</v>
      </c>
      <c r="G166" s="16">
        <v>31.83</v>
      </c>
      <c r="H166" s="15">
        <f t="shared" si="2"/>
        <v>25</v>
      </c>
      <c r="I166" s="15">
        <v>9</v>
      </c>
      <c r="J166" s="15" t="b">
        <v>0</v>
      </c>
      <c r="K166" s="15" t="b">
        <v>1</v>
      </c>
    </row>
    <row r="167" spans="1:11" x14ac:dyDescent="0.3">
      <c r="A167" s="15" t="s">
        <v>401</v>
      </c>
      <c r="B167" s="15">
        <v>2</v>
      </c>
      <c r="C167" s="15" t="s">
        <v>482</v>
      </c>
      <c r="D167" s="15">
        <v>1</v>
      </c>
      <c r="E167" s="15">
        <v>1</v>
      </c>
      <c r="F167" s="15">
        <v>3996</v>
      </c>
      <c r="G167" s="16">
        <v>32.56</v>
      </c>
      <c r="H167" s="15">
        <f t="shared" si="2"/>
        <v>123</v>
      </c>
      <c r="I167" s="15">
        <v>29</v>
      </c>
      <c r="J167" s="15" t="b">
        <v>1</v>
      </c>
      <c r="K167" s="15" t="b">
        <v>1</v>
      </c>
    </row>
    <row r="168" spans="1:11" x14ac:dyDescent="0.3">
      <c r="A168" s="15" t="s">
        <v>401</v>
      </c>
      <c r="B168" s="15">
        <v>2</v>
      </c>
      <c r="C168" s="15" t="s">
        <v>482</v>
      </c>
      <c r="D168" s="15">
        <v>1</v>
      </c>
      <c r="E168" s="15">
        <v>2</v>
      </c>
      <c r="F168" s="15">
        <v>3873</v>
      </c>
      <c r="G168" s="16">
        <v>32.56</v>
      </c>
      <c r="H168" s="15">
        <f t="shared" si="2"/>
        <v>119</v>
      </c>
      <c r="I168" s="15">
        <v>29</v>
      </c>
      <c r="J168" s="15" t="b">
        <v>1</v>
      </c>
      <c r="K168" s="15" t="b">
        <v>1</v>
      </c>
    </row>
    <row r="169" spans="1:11" x14ac:dyDescent="0.3">
      <c r="A169" s="15" t="s">
        <v>401</v>
      </c>
      <c r="B169" s="15">
        <v>2</v>
      </c>
      <c r="C169" s="15" t="s">
        <v>482</v>
      </c>
      <c r="D169" s="15">
        <v>1</v>
      </c>
      <c r="E169" s="15">
        <v>3</v>
      </c>
      <c r="F169" s="15">
        <v>3787</v>
      </c>
      <c r="G169" s="16">
        <v>32.56</v>
      </c>
      <c r="H169" s="15">
        <f t="shared" si="2"/>
        <v>117</v>
      </c>
      <c r="I169" s="15">
        <v>29</v>
      </c>
      <c r="J169" s="15" t="b">
        <v>1</v>
      </c>
      <c r="K169" s="15" t="b">
        <v>1</v>
      </c>
    </row>
    <row r="170" spans="1:11" x14ac:dyDescent="0.3">
      <c r="A170" s="15" t="s">
        <v>401</v>
      </c>
      <c r="B170" s="15">
        <v>2</v>
      </c>
      <c r="C170" s="15" t="s">
        <v>482</v>
      </c>
      <c r="D170" s="15">
        <v>2</v>
      </c>
      <c r="E170" s="15">
        <v>1</v>
      </c>
      <c r="F170" s="15">
        <v>4619</v>
      </c>
      <c r="G170" s="16">
        <v>32.56</v>
      </c>
      <c r="H170" s="15">
        <f t="shared" si="2"/>
        <v>142</v>
      </c>
      <c r="I170" s="15">
        <v>36</v>
      </c>
      <c r="J170" s="15" t="b">
        <v>1</v>
      </c>
      <c r="K170" s="15" t="b">
        <v>1</v>
      </c>
    </row>
    <row r="171" spans="1:11" x14ac:dyDescent="0.3">
      <c r="A171" s="15" t="s">
        <v>401</v>
      </c>
      <c r="B171" s="15">
        <v>2</v>
      </c>
      <c r="C171" s="15" t="s">
        <v>482</v>
      </c>
      <c r="D171" s="15">
        <v>2</v>
      </c>
      <c r="E171" s="15">
        <v>2</v>
      </c>
      <c r="F171" s="15">
        <v>4739</v>
      </c>
      <c r="G171" s="16">
        <v>32.56</v>
      </c>
      <c r="H171" s="15">
        <f t="shared" si="2"/>
        <v>146</v>
      </c>
      <c r="I171" s="15">
        <v>36</v>
      </c>
      <c r="J171" s="15" t="b">
        <v>1</v>
      </c>
      <c r="K171" s="15" t="b">
        <v>1</v>
      </c>
    </row>
    <row r="172" spans="1:11" x14ac:dyDescent="0.3">
      <c r="A172" s="15" t="s">
        <v>401</v>
      </c>
      <c r="B172" s="15">
        <v>2</v>
      </c>
      <c r="C172" s="15" t="s">
        <v>482</v>
      </c>
      <c r="D172" s="15">
        <v>2</v>
      </c>
      <c r="E172" s="15">
        <v>3</v>
      </c>
      <c r="F172" s="15">
        <v>4415</v>
      </c>
      <c r="G172" s="16">
        <v>32.56</v>
      </c>
      <c r="H172" s="15">
        <f t="shared" si="2"/>
        <v>136</v>
      </c>
      <c r="I172" s="15">
        <v>36</v>
      </c>
      <c r="J172" s="15" t="b">
        <v>1</v>
      </c>
      <c r="K172" s="15" t="b">
        <v>1</v>
      </c>
    </row>
    <row r="173" spans="1:11" x14ac:dyDescent="0.3">
      <c r="A173" s="15" t="s">
        <v>401</v>
      </c>
      <c r="B173" s="15">
        <v>2</v>
      </c>
      <c r="C173" s="15" t="s">
        <v>482</v>
      </c>
      <c r="D173" s="15">
        <v>3</v>
      </c>
      <c r="E173" s="15">
        <v>1</v>
      </c>
      <c r="F173" s="15">
        <v>2872</v>
      </c>
      <c r="G173" s="16">
        <v>32.56</v>
      </c>
      <c r="H173" s="15">
        <f t="shared" si="2"/>
        <v>89</v>
      </c>
      <c r="I173" s="15">
        <v>25</v>
      </c>
      <c r="J173" s="15" t="b">
        <v>1</v>
      </c>
      <c r="K173" s="15" t="b">
        <v>1</v>
      </c>
    </row>
    <row r="174" spans="1:11" x14ac:dyDescent="0.3">
      <c r="A174" s="15" t="s">
        <v>401</v>
      </c>
      <c r="B174" s="15">
        <v>2</v>
      </c>
      <c r="C174" s="15" t="s">
        <v>482</v>
      </c>
      <c r="D174" s="15">
        <v>3</v>
      </c>
      <c r="E174" s="15">
        <v>2</v>
      </c>
      <c r="F174" s="15">
        <v>2567</v>
      </c>
      <c r="G174" s="16">
        <v>32.56</v>
      </c>
      <c r="H174" s="15">
        <f t="shared" si="2"/>
        <v>79</v>
      </c>
      <c r="I174" s="15">
        <v>25</v>
      </c>
      <c r="J174" s="15" t="b">
        <v>1</v>
      </c>
      <c r="K174" s="15" t="b">
        <v>1</v>
      </c>
    </row>
    <row r="175" spans="1:11" x14ac:dyDescent="0.3">
      <c r="A175" s="15" t="s">
        <v>401</v>
      </c>
      <c r="B175" s="15">
        <v>2</v>
      </c>
      <c r="C175" s="15" t="s">
        <v>482</v>
      </c>
      <c r="D175" s="15">
        <v>3</v>
      </c>
      <c r="E175" s="15">
        <v>3</v>
      </c>
      <c r="F175" s="15">
        <v>2510</v>
      </c>
      <c r="G175" s="16">
        <v>32.56</v>
      </c>
      <c r="H175" s="15">
        <f t="shared" si="2"/>
        <v>78</v>
      </c>
      <c r="I175" s="15">
        <v>25</v>
      </c>
      <c r="J175" s="15" t="b">
        <v>1</v>
      </c>
      <c r="K175" s="15" t="b">
        <v>1</v>
      </c>
    </row>
    <row r="176" spans="1:11" x14ac:dyDescent="0.3">
      <c r="A176" s="15" t="s">
        <v>401</v>
      </c>
      <c r="B176" s="15">
        <v>2</v>
      </c>
      <c r="C176" s="15" t="s">
        <v>482</v>
      </c>
      <c r="D176" s="15">
        <v>4</v>
      </c>
      <c r="E176" s="15">
        <v>1</v>
      </c>
      <c r="F176" s="15">
        <v>392</v>
      </c>
      <c r="G176" s="16">
        <v>32.56</v>
      </c>
      <c r="H176" s="15">
        <f t="shared" si="2"/>
        <v>13</v>
      </c>
      <c r="I176" s="15">
        <v>5</v>
      </c>
      <c r="J176" s="15" t="b">
        <v>0</v>
      </c>
      <c r="K176" s="15" t="b">
        <v>1</v>
      </c>
    </row>
    <row r="177" spans="1:11" x14ac:dyDescent="0.3">
      <c r="A177" s="15" t="s">
        <v>401</v>
      </c>
      <c r="B177" s="15">
        <v>2</v>
      </c>
      <c r="C177" s="15" t="s">
        <v>482</v>
      </c>
      <c r="D177" s="15">
        <v>4</v>
      </c>
      <c r="E177" s="15">
        <v>2</v>
      </c>
      <c r="F177" s="15">
        <v>407</v>
      </c>
      <c r="G177" s="16">
        <v>32.56</v>
      </c>
      <c r="H177" s="15">
        <f t="shared" si="2"/>
        <v>13</v>
      </c>
      <c r="I177" s="15">
        <v>5</v>
      </c>
      <c r="J177" s="15" t="b">
        <v>0</v>
      </c>
      <c r="K177" s="15" t="b">
        <v>1</v>
      </c>
    </row>
    <row r="178" spans="1:11" x14ac:dyDescent="0.3">
      <c r="A178" s="15" t="s">
        <v>401</v>
      </c>
      <c r="B178" s="15">
        <v>2</v>
      </c>
      <c r="C178" s="15" t="s">
        <v>482</v>
      </c>
      <c r="D178" s="15">
        <v>4</v>
      </c>
      <c r="E178" s="15">
        <v>3</v>
      </c>
      <c r="F178" s="15">
        <v>392</v>
      </c>
      <c r="G178" s="16">
        <v>32.56</v>
      </c>
      <c r="H178" s="15">
        <f t="shared" si="2"/>
        <v>13</v>
      </c>
      <c r="I178" s="15">
        <v>5</v>
      </c>
      <c r="J178" s="15" t="b">
        <v>0</v>
      </c>
      <c r="K178" s="15" t="b">
        <v>1</v>
      </c>
    </row>
    <row r="179" spans="1:11" x14ac:dyDescent="0.3">
      <c r="A179" s="15" t="s">
        <v>401</v>
      </c>
      <c r="B179" s="15">
        <v>2</v>
      </c>
      <c r="C179" s="15" t="s">
        <v>482</v>
      </c>
      <c r="D179" s="15">
        <v>5</v>
      </c>
      <c r="E179" s="15">
        <v>1</v>
      </c>
      <c r="F179" s="15">
        <v>1537</v>
      </c>
      <c r="G179" s="16">
        <v>32.56</v>
      </c>
      <c r="H179" s="15">
        <f t="shared" si="2"/>
        <v>48</v>
      </c>
      <c r="I179" s="15">
        <v>19</v>
      </c>
      <c r="J179" s="15" t="b">
        <v>0</v>
      </c>
      <c r="K179" s="15" t="b">
        <v>1</v>
      </c>
    </row>
    <row r="180" spans="1:11" x14ac:dyDescent="0.3">
      <c r="A180" s="15" t="s">
        <v>401</v>
      </c>
      <c r="B180" s="15">
        <v>2</v>
      </c>
      <c r="C180" s="15" t="s">
        <v>482</v>
      </c>
      <c r="D180" s="15">
        <v>5</v>
      </c>
      <c r="E180" s="15">
        <v>2</v>
      </c>
      <c r="F180" s="15">
        <v>1546</v>
      </c>
      <c r="G180" s="16">
        <v>32.56</v>
      </c>
      <c r="H180" s="15">
        <f t="shared" si="2"/>
        <v>48</v>
      </c>
      <c r="I180" s="15">
        <v>19</v>
      </c>
      <c r="J180" s="15" t="b">
        <v>0</v>
      </c>
      <c r="K180" s="15" t="b">
        <v>1</v>
      </c>
    </row>
    <row r="181" spans="1:11" x14ac:dyDescent="0.3">
      <c r="A181" s="15" t="s">
        <v>401</v>
      </c>
      <c r="B181" s="15">
        <v>2</v>
      </c>
      <c r="C181" s="15" t="s">
        <v>482</v>
      </c>
      <c r="D181" s="15">
        <v>5</v>
      </c>
      <c r="E181" s="15">
        <v>3</v>
      </c>
      <c r="F181" s="15">
        <v>1518</v>
      </c>
      <c r="G181" s="16">
        <v>32.56</v>
      </c>
      <c r="H181" s="15">
        <f t="shared" si="2"/>
        <v>47</v>
      </c>
      <c r="I181" s="15">
        <v>19</v>
      </c>
      <c r="J181" s="15" t="b">
        <v>0</v>
      </c>
      <c r="K181" s="15" t="b">
        <v>1</v>
      </c>
    </row>
    <row r="182" spans="1:11" x14ac:dyDescent="0.3">
      <c r="A182" s="15" t="s">
        <v>401</v>
      </c>
      <c r="B182" s="15">
        <v>2</v>
      </c>
      <c r="C182" s="15" t="s">
        <v>483</v>
      </c>
      <c r="D182" s="15">
        <v>1</v>
      </c>
      <c r="E182" s="15">
        <v>1</v>
      </c>
      <c r="F182" s="15">
        <v>1343</v>
      </c>
      <c r="G182" s="16">
        <v>32.020000000000003</v>
      </c>
      <c r="H182" s="15">
        <f t="shared" si="2"/>
        <v>42</v>
      </c>
      <c r="I182" s="15">
        <v>15</v>
      </c>
      <c r="J182" s="15" t="b">
        <v>1</v>
      </c>
      <c r="K182" s="15" t="b">
        <v>1</v>
      </c>
    </row>
    <row r="183" spans="1:11" x14ac:dyDescent="0.3">
      <c r="A183" s="15" t="s">
        <v>401</v>
      </c>
      <c r="B183" s="15">
        <v>2</v>
      </c>
      <c r="C183" s="15" t="s">
        <v>483</v>
      </c>
      <c r="D183" s="15">
        <v>1</v>
      </c>
      <c r="E183" s="15">
        <v>2</v>
      </c>
      <c r="F183" s="15">
        <v>1204</v>
      </c>
      <c r="G183" s="16">
        <v>32.020000000000003</v>
      </c>
      <c r="H183" s="15">
        <f t="shared" si="2"/>
        <v>38</v>
      </c>
      <c r="I183" s="15">
        <v>15</v>
      </c>
      <c r="J183" s="15" t="b">
        <v>1</v>
      </c>
      <c r="K183" s="15" t="b">
        <v>1</v>
      </c>
    </row>
    <row r="184" spans="1:11" x14ac:dyDescent="0.3">
      <c r="A184" s="15" t="s">
        <v>401</v>
      </c>
      <c r="B184" s="15">
        <v>2</v>
      </c>
      <c r="C184" s="15" t="s">
        <v>483</v>
      </c>
      <c r="D184" s="15">
        <v>1</v>
      </c>
      <c r="E184" s="15">
        <v>3</v>
      </c>
      <c r="F184" s="15">
        <v>1150</v>
      </c>
      <c r="G184" s="16">
        <v>32.020000000000003</v>
      </c>
      <c r="H184" s="15">
        <f t="shared" si="2"/>
        <v>36</v>
      </c>
      <c r="I184" s="15">
        <v>15</v>
      </c>
      <c r="J184" s="15" t="b">
        <v>1</v>
      </c>
      <c r="K184" s="15" t="b">
        <v>1</v>
      </c>
    </row>
    <row r="185" spans="1:11" x14ac:dyDescent="0.3">
      <c r="A185" s="15" t="s">
        <v>401</v>
      </c>
      <c r="B185" s="15">
        <v>2</v>
      </c>
      <c r="C185" s="15" t="s">
        <v>483</v>
      </c>
      <c r="D185" s="15">
        <v>2</v>
      </c>
      <c r="E185" s="15">
        <v>1</v>
      </c>
      <c r="F185" s="15">
        <v>2572</v>
      </c>
      <c r="G185" s="16">
        <v>32.020000000000003</v>
      </c>
      <c r="H185" s="15">
        <f t="shared" si="2"/>
        <v>81</v>
      </c>
      <c r="I185" s="15">
        <v>19</v>
      </c>
      <c r="J185" s="15" t="b">
        <v>1</v>
      </c>
      <c r="K185" s="15" t="b">
        <v>1</v>
      </c>
    </row>
    <row r="186" spans="1:11" x14ac:dyDescent="0.3">
      <c r="A186" s="15" t="s">
        <v>401</v>
      </c>
      <c r="B186" s="15">
        <v>2</v>
      </c>
      <c r="C186" s="15" t="s">
        <v>483</v>
      </c>
      <c r="D186" s="15">
        <v>2</v>
      </c>
      <c r="E186" s="15">
        <v>2</v>
      </c>
      <c r="F186" s="15">
        <v>2811</v>
      </c>
      <c r="G186" s="16">
        <v>32.020000000000003</v>
      </c>
      <c r="H186" s="15">
        <f t="shared" si="2"/>
        <v>88</v>
      </c>
      <c r="I186" s="15">
        <v>19</v>
      </c>
      <c r="J186" s="15" t="b">
        <v>1</v>
      </c>
      <c r="K186" s="15" t="b">
        <v>1</v>
      </c>
    </row>
    <row r="187" spans="1:11" x14ac:dyDescent="0.3">
      <c r="A187" s="15" t="s">
        <v>401</v>
      </c>
      <c r="B187" s="15">
        <v>2</v>
      </c>
      <c r="C187" s="15" t="s">
        <v>483</v>
      </c>
      <c r="D187" s="15">
        <v>2</v>
      </c>
      <c r="E187" s="15">
        <v>3</v>
      </c>
      <c r="F187" s="15">
        <v>2423</v>
      </c>
      <c r="G187" s="16">
        <v>32.020000000000003</v>
      </c>
      <c r="H187" s="15">
        <f t="shared" si="2"/>
        <v>76</v>
      </c>
      <c r="I187" s="15">
        <v>19</v>
      </c>
      <c r="J187" s="15" t="b">
        <v>1</v>
      </c>
      <c r="K187" s="15" t="b">
        <v>1</v>
      </c>
    </row>
    <row r="188" spans="1:11" x14ac:dyDescent="0.3">
      <c r="A188" s="15" t="s">
        <v>401</v>
      </c>
      <c r="B188" s="15">
        <v>2</v>
      </c>
      <c r="C188" s="15" t="s">
        <v>483</v>
      </c>
      <c r="D188" s="15">
        <v>3</v>
      </c>
      <c r="E188" s="15">
        <v>1</v>
      </c>
      <c r="F188" s="15">
        <v>6071</v>
      </c>
      <c r="G188" s="16">
        <v>32.020000000000003</v>
      </c>
      <c r="H188" s="15">
        <f t="shared" si="2"/>
        <v>190</v>
      </c>
      <c r="I188" s="15">
        <v>49</v>
      </c>
      <c r="J188" s="15" t="b">
        <v>1</v>
      </c>
      <c r="K188" s="15" t="b">
        <v>1</v>
      </c>
    </row>
    <row r="189" spans="1:11" x14ac:dyDescent="0.3">
      <c r="A189" s="15" t="s">
        <v>401</v>
      </c>
      <c r="B189" s="15">
        <v>2</v>
      </c>
      <c r="C189" s="15" t="s">
        <v>483</v>
      </c>
      <c r="D189" s="15">
        <v>3</v>
      </c>
      <c r="E189" s="15">
        <v>2</v>
      </c>
      <c r="F189" s="15">
        <v>6107</v>
      </c>
      <c r="G189" s="16">
        <v>32.020000000000003</v>
      </c>
      <c r="H189" s="15">
        <f t="shared" si="2"/>
        <v>191</v>
      </c>
      <c r="I189" s="15">
        <v>49</v>
      </c>
      <c r="J189" s="15" t="b">
        <v>1</v>
      </c>
      <c r="K189" s="15" t="b">
        <v>1</v>
      </c>
    </row>
    <row r="190" spans="1:11" x14ac:dyDescent="0.3">
      <c r="A190" s="15" t="s">
        <v>401</v>
      </c>
      <c r="B190" s="15">
        <v>2</v>
      </c>
      <c r="C190" s="15" t="s">
        <v>483</v>
      </c>
      <c r="D190" s="15">
        <v>3</v>
      </c>
      <c r="E190" s="15">
        <v>3</v>
      </c>
      <c r="F190" s="15">
        <v>6053</v>
      </c>
      <c r="G190" s="16">
        <v>32.020000000000003</v>
      </c>
      <c r="H190" s="15">
        <f t="shared" si="2"/>
        <v>190</v>
      </c>
      <c r="I190" s="15">
        <v>49</v>
      </c>
      <c r="J190" s="15" t="b">
        <v>1</v>
      </c>
      <c r="K190" s="15" t="b">
        <v>1</v>
      </c>
    </row>
    <row r="191" spans="1:11" x14ac:dyDescent="0.3">
      <c r="A191" s="15" t="s">
        <v>401</v>
      </c>
      <c r="B191" s="15">
        <v>2</v>
      </c>
      <c r="C191" s="15" t="s">
        <v>483</v>
      </c>
      <c r="D191" s="15">
        <v>4</v>
      </c>
      <c r="E191" s="15">
        <v>1</v>
      </c>
      <c r="F191" s="15">
        <v>1369</v>
      </c>
      <c r="G191" s="16">
        <v>32.020000000000003</v>
      </c>
      <c r="H191" s="15">
        <f t="shared" si="2"/>
        <v>43</v>
      </c>
      <c r="I191" s="15">
        <v>12</v>
      </c>
      <c r="J191" s="15" t="b">
        <v>0</v>
      </c>
      <c r="K191" s="15" t="b">
        <v>1</v>
      </c>
    </row>
    <row r="192" spans="1:11" x14ac:dyDescent="0.3">
      <c r="A192" s="15" t="s">
        <v>401</v>
      </c>
      <c r="B192" s="15">
        <v>2</v>
      </c>
      <c r="C192" s="15" t="s">
        <v>483</v>
      </c>
      <c r="D192" s="15">
        <v>4</v>
      </c>
      <c r="E192" s="15">
        <v>2</v>
      </c>
      <c r="F192" s="15">
        <v>1346</v>
      </c>
      <c r="G192" s="16">
        <v>32.020000000000003</v>
      </c>
      <c r="H192" s="15">
        <f t="shared" si="2"/>
        <v>43</v>
      </c>
      <c r="I192" s="15">
        <v>12</v>
      </c>
      <c r="J192" s="15" t="b">
        <v>0</v>
      </c>
      <c r="K192" s="15" t="b">
        <v>1</v>
      </c>
    </row>
    <row r="193" spans="1:11" x14ac:dyDescent="0.3">
      <c r="A193" s="15" t="s">
        <v>401</v>
      </c>
      <c r="B193" s="15">
        <v>2</v>
      </c>
      <c r="C193" s="15" t="s">
        <v>483</v>
      </c>
      <c r="D193" s="15">
        <v>4</v>
      </c>
      <c r="E193" s="15">
        <v>3</v>
      </c>
      <c r="F193" s="15">
        <v>1382</v>
      </c>
      <c r="G193" s="16">
        <v>32.020000000000003</v>
      </c>
      <c r="H193" s="15">
        <f t="shared" si="2"/>
        <v>44</v>
      </c>
      <c r="I193" s="15">
        <v>12</v>
      </c>
      <c r="J193" s="15" t="b">
        <v>0</v>
      </c>
      <c r="K193" s="15" t="b">
        <v>1</v>
      </c>
    </row>
    <row r="194" spans="1:11" x14ac:dyDescent="0.3">
      <c r="A194" s="15" t="s">
        <v>401</v>
      </c>
      <c r="B194" s="15">
        <v>2</v>
      </c>
      <c r="C194" s="15" t="s">
        <v>483</v>
      </c>
      <c r="D194" s="15">
        <v>5</v>
      </c>
      <c r="E194" s="15">
        <v>1</v>
      </c>
      <c r="F194" s="15">
        <v>2697</v>
      </c>
      <c r="G194" s="16">
        <v>32.020000000000003</v>
      </c>
      <c r="H194" s="15">
        <f t="shared" si="2"/>
        <v>85</v>
      </c>
      <c r="I194" s="15">
        <v>23</v>
      </c>
      <c r="J194" s="15" t="b">
        <v>0</v>
      </c>
      <c r="K194" s="15" t="b">
        <v>1</v>
      </c>
    </row>
    <row r="195" spans="1:11" x14ac:dyDescent="0.3">
      <c r="A195" s="15" t="s">
        <v>401</v>
      </c>
      <c r="B195" s="15">
        <v>2</v>
      </c>
      <c r="C195" s="15" t="s">
        <v>483</v>
      </c>
      <c r="D195" s="15">
        <v>5</v>
      </c>
      <c r="E195" s="15">
        <v>2</v>
      </c>
      <c r="F195" s="15">
        <v>2584</v>
      </c>
      <c r="G195" s="16">
        <v>32.020000000000003</v>
      </c>
      <c r="H195" s="15">
        <f t="shared" ref="H195:H258" si="3">ROUNDUP(F195/G195,0)</f>
        <v>81</v>
      </c>
      <c r="I195" s="15">
        <v>23</v>
      </c>
      <c r="J195" s="15" t="b">
        <v>0</v>
      </c>
      <c r="K195" s="15" t="b">
        <v>1</v>
      </c>
    </row>
    <row r="196" spans="1:11" x14ac:dyDescent="0.3">
      <c r="A196" s="15" t="s">
        <v>401</v>
      </c>
      <c r="B196" s="15">
        <v>2</v>
      </c>
      <c r="C196" s="15" t="s">
        <v>483</v>
      </c>
      <c r="D196" s="15">
        <v>5</v>
      </c>
      <c r="E196" s="15">
        <v>3</v>
      </c>
      <c r="F196" s="15">
        <v>2603</v>
      </c>
      <c r="G196" s="16">
        <v>32.020000000000003</v>
      </c>
      <c r="H196" s="15">
        <f t="shared" si="3"/>
        <v>82</v>
      </c>
      <c r="I196" s="15">
        <v>23</v>
      </c>
      <c r="J196" s="15" t="b">
        <v>0</v>
      </c>
      <c r="K196" s="15" t="b">
        <v>1</v>
      </c>
    </row>
    <row r="197" spans="1:11" x14ac:dyDescent="0.3">
      <c r="A197" s="15" t="s">
        <v>401</v>
      </c>
      <c r="B197" s="15">
        <v>2</v>
      </c>
      <c r="C197" s="15" t="s">
        <v>484</v>
      </c>
      <c r="D197" s="15">
        <v>1</v>
      </c>
      <c r="E197" s="15">
        <v>1</v>
      </c>
      <c r="F197" s="15">
        <v>7685</v>
      </c>
      <c r="G197" s="16">
        <v>34.200000000000003</v>
      </c>
      <c r="H197" s="15">
        <f t="shared" si="3"/>
        <v>225</v>
      </c>
      <c r="I197" s="15">
        <v>68</v>
      </c>
      <c r="J197" s="15" t="b">
        <v>1</v>
      </c>
      <c r="K197" s="15" t="b">
        <v>1</v>
      </c>
    </row>
    <row r="198" spans="1:11" x14ac:dyDescent="0.3">
      <c r="A198" s="15" t="s">
        <v>401</v>
      </c>
      <c r="B198" s="15">
        <v>2</v>
      </c>
      <c r="C198" s="15" t="s">
        <v>484</v>
      </c>
      <c r="D198" s="15">
        <v>1</v>
      </c>
      <c r="E198" s="15">
        <v>2</v>
      </c>
      <c r="F198" s="15">
        <v>6834</v>
      </c>
      <c r="G198" s="16">
        <v>34.200000000000003</v>
      </c>
      <c r="H198" s="15">
        <f t="shared" si="3"/>
        <v>200</v>
      </c>
      <c r="I198" s="15">
        <v>68</v>
      </c>
      <c r="J198" s="15" t="b">
        <v>1</v>
      </c>
      <c r="K198" s="15" t="b">
        <v>1</v>
      </c>
    </row>
    <row r="199" spans="1:11" x14ac:dyDescent="0.3">
      <c r="A199" s="15" t="s">
        <v>401</v>
      </c>
      <c r="B199" s="15">
        <v>2</v>
      </c>
      <c r="C199" s="15" t="s">
        <v>484</v>
      </c>
      <c r="D199" s="15">
        <v>1</v>
      </c>
      <c r="E199" s="15">
        <v>3</v>
      </c>
      <c r="F199" s="15">
        <v>7056</v>
      </c>
      <c r="G199" s="16">
        <v>34.200000000000003</v>
      </c>
      <c r="H199" s="15">
        <f t="shared" si="3"/>
        <v>207</v>
      </c>
      <c r="I199" s="15">
        <v>68</v>
      </c>
      <c r="J199" s="15" t="b">
        <v>1</v>
      </c>
      <c r="K199" s="15" t="b">
        <v>1</v>
      </c>
    </row>
    <row r="200" spans="1:11" x14ac:dyDescent="0.3">
      <c r="A200" s="15" t="s">
        <v>401</v>
      </c>
      <c r="B200" s="15">
        <v>2</v>
      </c>
      <c r="C200" s="15" t="s">
        <v>484</v>
      </c>
      <c r="D200" s="15">
        <v>2</v>
      </c>
      <c r="E200" s="15">
        <v>1</v>
      </c>
      <c r="F200" s="15">
        <v>1969</v>
      </c>
      <c r="G200" s="16">
        <v>34.200000000000003</v>
      </c>
      <c r="H200" s="15">
        <f t="shared" si="3"/>
        <v>58</v>
      </c>
      <c r="I200" s="15">
        <v>14</v>
      </c>
      <c r="J200" s="15" t="b">
        <v>1</v>
      </c>
      <c r="K200" s="15" t="b">
        <v>1</v>
      </c>
    </row>
    <row r="201" spans="1:11" x14ac:dyDescent="0.3">
      <c r="A201" s="15" t="s">
        <v>401</v>
      </c>
      <c r="B201" s="15">
        <v>2</v>
      </c>
      <c r="C201" s="15" t="s">
        <v>484</v>
      </c>
      <c r="D201" s="15">
        <v>2</v>
      </c>
      <c r="E201" s="15">
        <v>2</v>
      </c>
      <c r="F201" s="15">
        <v>1822</v>
      </c>
      <c r="G201" s="16">
        <v>34.200000000000003</v>
      </c>
      <c r="H201" s="15">
        <f t="shared" si="3"/>
        <v>54</v>
      </c>
      <c r="I201" s="15">
        <v>14</v>
      </c>
      <c r="J201" s="15" t="b">
        <v>1</v>
      </c>
      <c r="K201" s="15" t="b">
        <v>1</v>
      </c>
    </row>
    <row r="202" spans="1:11" x14ac:dyDescent="0.3">
      <c r="A202" s="15" t="s">
        <v>401</v>
      </c>
      <c r="B202" s="15">
        <v>2</v>
      </c>
      <c r="C202" s="15" t="s">
        <v>484</v>
      </c>
      <c r="D202" s="15">
        <v>2</v>
      </c>
      <c r="E202" s="15">
        <v>3</v>
      </c>
      <c r="F202" s="15">
        <v>1936</v>
      </c>
      <c r="G202" s="16">
        <v>34.200000000000003</v>
      </c>
      <c r="H202" s="15">
        <f t="shared" si="3"/>
        <v>57</v>
      </c>
      <c r="I202" s="15">
        <v>14</v>
      </c>
      <c r="J202" s="15" t="b">
        <v>1</v>
      </c>
      <c r="K202" s="15" t="b">
        <v>1</v>
      </c>
    </row>
    <row r="203" spans="1:11" x14ac:dyDescent="0.3">
      <c r="A203" s="15" t="s">
        <v>401</v>
      </c>
      <c r="B203" s="15">
        <v>2</v>
      </c>
      <c r="C203" s="15" t="s">
        <v>484</v>
      </c>
      <c r="D203" s="15">
        <v>3</v>
      </c>
      <c r="E203" s="15">
        <v>1</v>
      </c>
      <c r="F203" s="15">
        <v>3773</v>
      </c>
      <c r="G203" s="16">
        <v>34.200000000000003</v>
      </c>
      <c r="H203" s="15">
        <f t="shared" si="3"/>
        <v>111</v>
      </c>
      <c r="I203" s="15">
        <v>30</v>
      </c>
      <c r="J203" s="15" t="b">
        <v>1</v>
      </c>
      <c r="K203" s="15" t="b">
        <v>1</v>
      </c>
    </row>
    <row r="204" spans="1:11" x14ac:dyDescent="0.3">
      <c r="A204" s="15" t="s">
        <v>401</v>
      </c>
      <c r="B204" s="15">
        <v>2</v>
      </c>
      <c r="C204" s="15" t="s">
        <v>484</v>
      </c>
      <c r="D204" s="15">
        <v>3</v>
      </c>
      <c r="E204" s="15">
        <v>2</v>
      </c>
      <c r="F204" s="15">
        <v>3605</v>
      </c>
      <c r="G204" s="16">
        <v>34.200000000000003</v>
      </c>
      <c r="H204" s="15">
        <f t="shared" si="3"/>
        <v>106</v>
      </c>
      <c r="I204" s="15">
        <v>30</v>
      </c>
      <c r="J204" s="15" t="b">
        <v>1</v>
      </c>
      <c r="K204" s="15" t="b">
        <v>1</v>
      </c>
    </row>
    <row r="205" spans="1:11" x14ac:dyDescent="0.3">
      <c r="A205" s="15" t="s">
        <v>401</v>
      </c>
      <c r="B205" s="15">
        <v>2</v>
      </c>
      <c r="C205" s="15" t="s">
        <v>484</v>
      </c>
      <c r="D205" s="15">
        <v>3</v>
      </c>
      <c r="E205" s="15">
        <v>3</v>
      </c>
      <c r="F205" s="15">
        <v>3530</v>
      </c>
      <c r="G205" s="16">
        <v>34.200000000000003</v>
      </c>
      <c r="H205" s="15">
        <f t="shared" si="3"/>
        <v>104</v>
      </c>
      <c r="I205" s="15">
        <v>30</v>
      </c>
      <c r="J205" s="15" t="b">
        <v>1</v>
      </c>
      <c r="K205" s="15" t="b">
        <v>1</v>
      </c>
    </row>
    <row r="206" spans="1:11" x14ac:dyDescent="0.3">
      <c r="A206" s="15" t="s">
        <v>401</v>
      </c>
      <c r="B206" s="15">
        <v>2</v>
      </c>
      <c r="C206" s="15" t="s">
        <v>484</v>
      </c>
      <c r="D206" s="15">
        <v>4</v>
      </c>
      <c r="E206" s="15">
        <v>1</v>
      </c>
      <c r="F206" s="15">
        <v>641</v>
      </c>
      <c r="G206" s="16">
        <v>34.200000000000003</v>
      </c>
      <c r="H206" s="15">
        <f t="shared" si="3"/>
        <v>19</v>
      </c>
      <c r="I206" s="15">
        <v>9</v>
      </c>
      <c r="J206" s="15" t="b">
        <v>0</v>
      </c>
      <c r="K206" s="15" t="b">
        <v>1</v>
      </c>
    </row>
    <row r="207" spans="1:11" x14ac:dyDescent="0.3">
      <c r="A207" s="15" t="s">
        <v>401</v>
      </c>
      <c r="B207" s="15">
        <v>2</v>
      </c>
      <c r="C207" s="15" t="s">
        <v>484</v>
      </c>
      <c r="D207" s="15">
        <v>4</v>
      </c>
      <c r="E207" s="15">
        <v>2</v>
      </c>
      <c r="F207" s="15">
        <v>635</v>
      </c>
      <c r="G207" s="16">
        <v>34.200000000000003</v>
      </c>
      <c r="H207" s="15">
        <f t="shared" si="3"/>
        <v>19</v>
      </c>
      <c r="I207" s="15">
        <v>9</v>
      </c>
      <c r="J207" s="15" t="b">
        <v>0</v>
      </c>
      <c r="K207" s="15" t="b">
        <v>1</v>
      </c>
    </row>
    <row r="208" spans="1:11" x14ac:dyDescent="0.3">
      <c r="A208" s="15" t="s">
        <v>401</v>
      </c>
      <c r="B208" s="15">
        <v>2</v>
      </c>
      <c r="C208" s="15" t="s">
        <v>484</v>
      </c>
      <c r="D208" s="15">
        <v>4</v>
      </c>
      <c r="E208" s="15">
        <v>3</v>
      </c>
      <c r="F208" s="15">
        <v>679</v>
      </c>
      <c r="G208" s="16">
        <v>34.200000000000003</v>
      </c>
      <c r="H208" s="15">
        <f t="shared" si="3"/>
        <v>20</v>
      </c>
      <c r="I208" s="15">
        <v>9</v>
      </c>
      <c r="J208" s="15" t="b">
        <v>0</v>
      </c>
      <c r="K208" s="15" t="b">
        <v>1</v>
      </c>
    </row>
    <row r="209" spans="1:11" x14ac:dyDescent="0.3">
      <c r="A209" s="15" t="s">
        <v>401</v>
      </c>
      <c r="B209" s="15">
        <v>2</v>
      </c>
      <c r="C209" s="15" t="s">
        <v>484</v>
      </c>
      <c r="D209" s="15">
        <v>5</v>
      </c>
      <c r="E209" s="15">
        <v>1</v>
      </c>
      <c r="F209" s="15">
        <v>360</v>
      </c>
      <c r="G209" s="16">
        <v>34.200000000000003</v>
      </c>
      <c r="H209" s="15">
        <f t="shared" si="3"/>
        <v>11</v>
      </c>
      <c r="I209" s="15">
        <v>4</v>
      </c>
      <c r="J209" s="15" t="b">
        <v>0</v>
      </c>
      <c r="K209" s="15" t="b">
        <v>1</v>
      </c>
    </row>
    <row r="210" spans="1:11" x14ac:dyDescent="0.3">
      <c r="A210" s="15" t="s">
        <v>401</v>
      </c>
      <c r="B210" s="15">
        <v>2</v>
      </c>
      <c r="C210" s="15" t="s">
        <v>484</v>
      </c>
      <c r="D210" s="15">
        <v>5</v>
      </c>
      <c r="E210" s="15">
        <v>2</v>
      </c>
      <c r="F210" s="15">
        <v>313</v>
      </c>
      <c r="G210" s="16">
        <v>34.200000000000003</v>
      </c>
      <c r="H210" s="15">
        <f t="shared" si="3"/>
        <v>10</v>
      </c>
      <c r="I210" s="15">
        <v>4</v>
      </c>
      <c r="J210" s="15" t="b">
        <v>0</v>
      </c>
      <c r="K210" s="15" t="b">
        <v>1</v>
      </c>
    </row>
    <row r="211" spans="1:11" x14ac:dyDescent="0.3">
      <c r="A211" s="15" t="s">
        <v>401</v>
      </c>
      <c r="B211" s="15">
        <v>2</v>
      </c>
      <c r="C211" s="15" t="s">
        <v>484</v>
      </c>
      <c r="D211" s="15">
        <v>5</v>
      </c>
      <c r="E211" s="15">
        <v>3</v>
      </c>
      <c r="F211" s="15">
        <v>341</v>
      </c>
      <c r="G211" s="16">
        <v>34.200000000000003</v>
      </c>
      <c r="H211" s="15">
        <f t="shared" si="3"/>
        <v>10</v>
      </c>
      <c r="I211" s="15">
        <v>4</v>
      </c>
      <c r="J211" s="15" t="b">
        <v>0</v>
      </c>
      <c r="K211" s="15" t="b">
        <v>1</v>
      </c>
    </row>
    <row r="212" spans="1:11" x14ac:dyDescent="0.3">
      <c r="A212" s="15" t="s">
        <v>401</v>
      </c>
      <c r="B212" s="15">
        <v>2</v>
      </c>
      <c r="C212" s="15" t="s">
        <v>485</v>
      </c>
      <c r="D212" s="15">
        <v>1</v>
      </c>
      <c r="E212" s="15">
        <v>1</v>
      </c>
      <c r="F212" s="15">
        <v>903</v>
      </c>
      <c r="G212" s="16">
        <v>28.45</v>
      </c>
      <c r="H212" s="15">
        <f t="shared" si="3"/>
        <v>32</v>
      </c>
      <c r="I212" s="15">
        <v>8</v>
      </c>
      <c r="J212" s="15" t="b">
        <v>1</v>
      </c>
      <c r="K212" s="15" t="b">
        <v>1</v>
      </c>
    </row>
    <row r="213" spans="1:11" x14ac:dyDescent="0.3">
      <c r="A213" s="15" t="s">
        <v>401</v>
      </c>
      <c r="B213" s="15">
        <v>2</v>
      </c>
      <c r="C213" s="15" t="s">
        <v>485</v>
      </c>
      <c r="D213" s="15">
        <v>1</v>
      </c>
      <c r="E213" s="15">
        <v>2</v>
      </c>
      <c r="F213" s="15">
        <v>821</v>
      </c>
      <c r="G213" s="16">
        <v>28.45</v>
      </c>
      <c r="H213" s="15">
        <f t="shared" si="3"/>
        <v>29</v>
      </c>
      <c r="I213" s="15">
        <v>8</v>
      </c>
      <c r="J213" s="15" t="b">
        <v>1</v>
      </c>
      <c r="K213" s="15" t="b">
        <v>1</v>
      </c>
    </row>
    <row r="214" spans="1:11" x14ac:dyDescent="0.3">
      <c r="A214" s="15" t="s">
        <v>401</v>
      </c>
      <c r="B214" s="15">
        <v>2</v>
      </c>
      <c r="C214" s="15" t="s">
        <v>485</v>
      </c>
      <c r="D214" s="15">
        <v>1</v>
      </c>
      <c r="E214" s="15">
        <v>3</v>
      </c>
      <c r="F214" s="15">
        <v>749</v>
      </c>
      <c r="G214" s="16">
        <v>28.45</v>
      </c>
      <c r="H214" s="15">
        <f t="shared" si="3"/>
        <v>27</v>
      </c>
      <c r="I214" s="15">
        <v>8</v>
      </c>
      <c r="J214" s="15" t="b">
        <v>1</v>
      </c>
      <c r="K214" s="15" t="b">
        <v>1</v>
      </c>
    </row>
    <row r="215" spans="1:11" x14ac:dyDescent="0.3">
      <c r="A215" s="15" t="s">
        <v>401</v>
      </c>
      <c r="B215" s="15">
        <v>2</v>
      </c>
      <c r="C215" s="15" t="s">
        <v>485</v>
      </c>
      <c r="D215" s="15">
        <v>2</v>
      </c>
      <c r="E215" s="15">
        <v>1</v>
      </c>
      <c r="F215" s="15">
        <v>1495</v>
      </c>
      <c r="G215" s="16">
        <v>28.45</v>
      </c>
      <c r="H215" s="15">
        <f t="shared" si="3"/>
        <v>53</v>
      </c>
      <c r="I215" s="15">
        <v>17</v>
      </c>
      <c r="J215" s="15" t="b">
        <v>1</v>
      </c>
      <c r="K215" s="15" t="b">
        <v>1</v>
      </c>
    </row>
    <row r="216" spans="1:11" x14ac:dyDescent="0.3">
      <c r="A216" s="15" t="s">
        <v>401</v>
      </c>
      <c r="B216" s="15">
        <v>2</v>
      </c>
      <c r="C216" s="15" t="s">
        <v>485</v>
      </c>
      <c r="D216" s="15">
        <v>2</v>
      </c>
      <c r="E216" s="15">
        <v>2</v>
      </c>
      <c r="F216" s="15">
        <v>1374</v>
      </c>
      <c r="G216" s="16">
        <v>28.45</v>
      </c>
      <c r="H216" s="15">
        <f t="shared" si="3"/>
        <v>49</v>
      </c>
      <c r="I216" s="15">
        <v>17</v>
      </c>
      <c r="J216" s="15" t="b">
        <v>1</v>
      </c>
      <c r="K216" s="15" t="b">
        <v>1</v>
      </c>
    </row>
    <row r="217" spans="1:11" x14ac:dyDescent="0.3">
      <c r="A217" s="15" t="s">
        <v>401</v>
      </c>
      <c r="B217" s="15">
        <v>2</v>
      </c>
      <c r="C217" s="15" t="s">
        <v>485</v>
      </c>
      <c r="D217" s="15">
        <v>2</v>
      </c>
      <c r="E217" s="15">
        <v>3</v>
      </c>
      <c r="F217" s="15">
        <v>1347</v>
      </c>
      <c r="G217" s="16">
        <v>28.45</v>
      </c>
      <c r="H217" s="15">
        <f t="shared" si="3"/>
        <v>48</v>
      </c>
      <c r="I217" s="15">
        <v>17</v>
      </c>
      <c r="J217" s="15" t="b">
        <v>1</v>
      </c>
      <c r="K217" s="15" t="b">
        <v>1</v>
      </c>
    </row>
    <row r="218" spans="1:11" x14ac:dyDescent="0.3">
      <c r="A218" s="15" t="s">
        <v>401</v>
      </c>
      <c r="B218" s="15">
        <v>2</v>
      </c>
      <c r="C218" s="15" t="s">
        <v>485</v>
      </c>
      <c r="D218" s="15">
        <v>3</v>
      </c>
      <c r="E218" s="15">
        <v>1</v>
      </c>
      <c r="F218" s="15">
        <v>352</v>
      </c>
      <c r="G218" s="16">
        <v>28.45</v>
      </c>
      <c r="H218" s="15">
        <f t="shared" si="3"/>
        <v>13</v>
      </c>
      <c r="I218" s="15">
        <v>5</v>
      </c>
      <c r="J218" s="15" t="b">
        <v>1</v>
      </c>
      <c r="K218" s="15" t="b">
        <v>1</v>
      </c>
    </row>
    <row r="219" spans="1:11" x14ac:dyDescent="0.3">
      <c r="A219" s="15" t="s">
        <v>401</v>
      </c>
      <c r="B219" s="15">
        <v>2</v>
      </c>
      <c r="C219" s="15" t="s">
        <v>485</v>
      </c>
      <c r="D219" s="15">
        <v>3</v>
      </c>
      <c r="E219" s="15">
        <v>2</v>
      </c>
      <c r="F219" s="15">
        <v>316</v>
      </c>
      <c r="G219" s="16">
        <v>28.45</v>
      </c>
      <c r="H219" s="15">
        <f t="shared" si="3"/>
        <v>12</v>
      </c>
      <c r="I219" s="15">
        <v>5</v>
      </c>
      <c r="J219" s="15" t="b">
        <v>1</v>
      </c>
      <c r="K219" s="15" t="b">
        <v>1</v>
      </c>
    </row>
    <row r="220" spans="1:11" x14ac:dyDescent="0.3">
      <c r="A220" s="15" t="s">
        <v>401</v>
      </c>
      <c r="B220" s="15">
        <v>2</v>
      </c>
      <c r="C220" s="15" t="s">
        <v>485</v>
      </c>
      <c r="D220" s="15">
        <v>3</v>
      </c>
      <c r="E220" s="15">
        <v>3</v>
      </c>
      <c r="F220" s="15">
        <v>322</v>
      </c>
      <c r="G220" s="16">
        <v>28.45</v>
      </c>
      <c r="H220" s="15">
        <f t="shared" si="3"/>
        <v>12</v>
      </c>
      <c r="I220" s="15">
        <v>5</v>
      </c>
      <c r="J220" s="15" t="b">
        <v>1</v>
      </c>
      <c r="K220" s="15" t="b">
        <v>1</v>
      </c>
    </row>
    <row r="221" spans="1:11" x14ac:dyDescent="0.3">
      <c r="A221" s="15" t="s">
        <v>401</v>
      </c>
      <c r="B221" s="15">
        <v>2</v>
      </c>
      <c r="C221" s="15" t="s">
        <v>485</v>
      </c>
      <c r="D221" s="15">
        <v>4</v>
      </c>
      <c r="E221" s="15">
        <v>1</v>
      </c>
      <c r="F221" s="15">
        <v>105</v>
      </c>
      <c r="G221" s="16">
        <v>28.45</v>
      </c>
      <c r="H221" s="15">
        <f t="shared" si="3"/>
        <v>4</v>
      </c>
      <c r="I221" s="15">
        <v>3</v>
      </c>
      <c r="J221" s="15" t="b">
        <v>0</v>
      </c>
      <c r="K221" s="15" t="b">
        <v>1</v>
      </c>
    </row>
    <row r="222" spans="1:11" x14ac:dyDescent="0.3">
      <c r="A222" s="15" t="s">
        <v>401</v>
      </c>
      <c r="B222" s="15">
        <v>2</v>
      </c>
      <c r="C222" s="15" t="s">
        <v>485</v>
      </c>
      <c r="D222" s="15">
        <v>4</v>
      </c>
      <c r="E222" s="15">
        <v>2</v>
      </c>
      <c r="F222" s="15">
        <v>89</v>
      </c>
      <c r="G222" s="16">
        <v>28.45</v>
      </c>
      <c r="H222" s="15">
        <f t="shared" si="3"/>
        <v>4</v>
      </c>
      <c r="I222" s="15">
        <v>3</v>
      </c>
      <c r="J222" s="15" t="b">
        <v>0</v>
      </c>
      <c r="K222" s="15" t="b">
        <v>1</v>
      </c>
    </row>
    <row r="223" spans="1:11" x14ac:dyDescent="0.3">
      <c r="A223" s="15" t="s">
        <v>401</v>
      </c>
      <c r="B223" s="15">
        <v>2</v>
      </c>
      <c r="C223" s="15" t="s">
        <v>485</v>
      </c>
      <c r="D223" s="15">
        <v>4</v>
      </c>
      <c r="E223" s="15">
        <v>3</v>
      </c>
      <c r="F223" s="15">
        <v>116</v>
      </c>
      <c r="G223" s="16">
        <v>28.45</v>
      </c>
      <c r="H223" s="15">
        <f t="shared" si="3"/>
        <v>5</v>
      </c>
      <c r="I223" s="15">
        <v>3</v>
      </c>
      <c r="J223" s="15" t="b">
        <v>0</v>
      </c>
      <c r="K223" s="15" t="b">
        <v>1</v>
      </c>
    </row>
    <row r="224" spans="1:11" x14ac:dyDescent="0.3">
      <c r="A224" s="15" t="s">
        <v>406</v>
      </c>
      <c r="B224" s="15">
        <v>3</v>
      </c>
      <c r="C224" s="15" t="s">
        <v>486</v>
      </c>
      <c r="D224" s="15">
        <v>1</v>
      </c>
      <c r="E224" s="15">
        <v>1</v>
      </c>
      <c r="F224" s="15">
        <v>1830</v>
      </c>
      <c r="G224" s="16">
        <v>32.299999999999997</v>
      </c>
      <c r="H224" s="15">
        <f t="shared" si="3"/>
        <v>57</v>
      </c>
      <c r="I224" s="15">
        <v>10</v>
      </c>
      <c r="J224" s="15" t="b">
        <v>1</v>
      </c>
      <c r="K224" s="15" t="b">
        <v>1</v>
      </c>
    </row>
    <row r="225" spans="1:11" x14ac:dyDescent="0.3">
      <c r="A225" s="15" t="s">
        <v>406</v>
      </c>
      <c r="B225" s="15">
        <v>3</v>
      </c>
      <c r="C225" s="15" t="s">
        <v>486</v>
      </c>
      <c r="D225" s="15">
        <v>1</v>
      </c>
      <c r="E225" s="15">
        <v>2</v>
      </c>
      <c r="F225" s="15">
        <v>1838</v>
      </c>
      <c r="G225" s="16">
        <v>32.299999999999997</v>
      </c>
      <c r="H225" s="15">
        <f t="shared" si="3"/>
        <v>57</v>
      </c>
      <c r="I225" s="15">
        <v>10</v>
      </c>
      <c r="J225" s="15" t="b">
        <v>1</v>
      </c>
      <c r="K225" s="15" t="b">
        <v>1</v>
      </c>
    </row>
    <row r="226" spans="1:11" x14ac:dyDescent="0.3">
      <c r="A226" s="15" t="s">
        <v>406</v>
      </c>
      <c r="B226" s="15">
        <v>3</v>
      </c>
      <c r="C226" s="15" t="s">
        <v>486</v>
      </c>
      <c r="D226" s="15">
        <v>1</v>
      </c>
      <c r="E226" s="15">
        <v>3</v>
      </c>
      <c r="F226" s="15">
        <v>1787</v>
      </c>
      <c r="G226" s="16">
        <v>32.299999999999997</v>
      </c>
      <c r="H226" s="15">
        <f t="shared" si="3"/>
        <v>56</v>
      </c>
      <c r="I226" s="15">
        <v>10</v>
      </c>
      <c r="J226" s="15" t="b">
        <v>1</v>
      </c>
      <c r="K226" s="15" t="b">
        <v>1</v>
      </c>
    </row>
    <row r="227" spans="1:11" x14ac:dyDescent="0.3">
      <c r="A227" s="15" t="s">
        <v>406</v>
      </c>
      <c r="B227" s="15">
        <v>3</v>
      </c>
      <c r="C227" s="15" t="s">
        <v>486</v>
      </c>
      <c r="D227" s="15">
        <v>2</v>
      </c>
      <c r="E227" s="15">
        <v>1</v>
      </c>
      <c r="F227" s="15">
        <v>91</v>
      </c>
      <c r="G227" s="16">
        <v>32.299999999999997</v>
      </c>
      <c r="H227" s="15">
        <f t="shared" si="3"/>
        <v>3</v>
      </c>
      <c r="I227" s="15">
        <v>2</v>
      </c>
      <c r="J227" s="15" t="b">
        <v>1</v>
      </c>
      <c r="K227" s="15" t="b">
        <v>1</v>
      </c>
    </row>
    <row r="228" spans="1:11" x14ac:dyDescent="0.3">
      <c r="A228" s="15" t="s">
        <v>406</v>
      </c>
      <c r="B228" s="15">
        <v>3</v>
      </c>
      <c r="C228" s="15" t="s">
        <v>486</v>
      </c>
      <c r="D228" s="15">
        <v>2</v>
      </c>
      <c r="E228" s="15">
        <v>2</v>
      </c>
      <c r="F228" s="15">
        <v>82</v>
      </c>
      <c r="G228" s="16">
        <v>32.299999999999997</v>
      </c>
      <c r="H228" s="15">
        <f t="shared" si="3"/>
        <v>3</v>
      </c>
      <c r="I228" s="15">
        <v>2</v>
      </c>
      <c r="J228" s="15" t="b">
        <v>1</v>
      </c>
      <c r="K228" s="15" t="b">
        <v>1</v>
      </c>
    </row>
    <row r="229" spans="1:11" x14ac:dyDescent="0.3">
      <c r="A229" s="15" t="s">
        <v>406</v>
      </c>
      <c r="B229" s="15">
        <v>3</v>
      </c>
      <c r="C229" s="15" t="s">
        <v>486</v>
      </c>
      <c r="D229" s="15">
        <v>2</v>
      </c>
      <c r="E229" s="15">
        <v>3</v>
      </c>
      <c r="F229" s="15">
        <v>76</v>
      </c>
      <c r="G229" s="16">
        <v>32.299999999999997</v>
      </c>
      <c r="H229" s="15">
        <f t="shared" si="3"/>
        <v>3</v>
      </c>
      <c r="I229" s="15">
        <v>2</v>
      </c>
      <c r="J229" s="15" t="b">
        <v>1</v>
      </c>
      <c r="K229" s="15" t="b">
        <v>1</v>
      </c>
    </row>
    <row r="230" spans="1:11" x14ac:dyDescent="0.3">
      <c r="A230" s="15" t="s">
        <v>406</v>
      </c>
      <c r="B230" s="15">
        <v>3</v>
      </c>
      <c r="C230" s="15" t="s">
        <v>486</v>
      </c>
      <c r="D230" s="15">
        <v>3</v>
      </c>
      <c r="E230" s="15">
        <v>1</v>
      </c>
      <c r="F230" s="15">
        <v>4369</v>
      </c>
      <c r="G230" s="16">
        <v>32.299999999999997</v>
      </c>
      <c r="H230" s="15">
        <f t="shared" si="3"/>
        <v>136</v>
      </c>
      <c r="I230" s="15">
        <v>25</v>
      </c>
      <c r="J230" s="15" t="b">
        <v>1</v>
      </c>
      <c r="K230" s="15" t="b">
        <v>1</v>
      </c>
    </row>
    <row r="231" spans="1:11" x14ac:dyDescent="0.3">
      <c r="A231" s="15" t="s">
        <v>406</v>
      </c>
      <c r="B231" s="15">
        <v>3</v>
      </c>
      <c r="C231" s="15" t="s">
        <v>486</v>
      </c>
      <c r="D231" s="15">
        <v>3</v>
      </c>
      <c r="E231" s="15">
        <v>2</v>
      </c>
      <c r="F231" s="15">
        <v>4112</v>
      </c>
      <c r="G231" s="16">
        <v>32.299999999999997</v>
      </c>
      <c r="H231" s="15">
        <f t="shared" si="3"/>
        <v>128</v>
      </c>
      <c r="I231" s="15">
        <v>25</v>
      </c>
      <c r="J231" s="15" t="b">
        <v>1</v>
      </c>
      <c r="K231" s="15" t="b">
        <v>1</v>
      </c>
    </row>
    <row r="232" spans="1:11" x14ac:dyDescent="0.3">
      <c r="A232" s="15" t="s">
        <v>406</v>
      </c>
      <c r="B232" s="15">
        <v>3</v>
      </c>
      <c r="C232" s="15" t="s">
        <v>486</v>
      </c>
      <c r="D232" s="15">
        <v>3</v>
      </c>
      <c r="E232" s="15">
        <v>3</v>
      </c>
      <c r="F232" s="15">
        <v>3974</v>
      </c>
      <c r="G232" s="16">
        <v>32.299999999999997</v>
      </c>
      <c r="H232" s="15">
        <f t="shared" si="3"/>
        <v>124</v>
      </c>
      <c r="I232" s="15">
        <v>25</v>
      </c>
      <c r="J232" s="15" t="b">
        <v>1</v>
      </c>
      <c r="K232" s="15" t="b">
        <v>1</v>
      </c>
    </row>
    <row r="233" spans="1:11" x14ac:dyDescent="0.3">
      <c r="A233" s="15" t="s">
        <v>406</v>
      </c>
      <c r="B233" s="15">
        <v>3</v>
      </c>
      <c r="C233" s="15" t="s">
        <v>486</v>
      </c>
      <c r="D233" s="15">
        <v>4</v>
      </c>
      <c r="E233" s="15">
        <v>1</v>
      </c>
      <c r="F233" s="15">
        <v>3902</v>
      </c>
      <c r="G233" s="16">
        <v>32.299999999999997</v>
      </c>
      <c r="H233" s="15">
        <f t="shared" si="3"/>
        <v>121</v>
      </c>
      <c r="I233" s="15">
        <v>21</v>
      </c>
      <c r="J233" s="15" t="b">
        <v>0</v>
      </c>
      <c r="K233" s="15" t="b">
        <v>1</v>
      </c>
    </row>
    <row r="234" spans="1:11" x14ac:dyDescent="0.3">
      <c r="A234" s="15" t="s">
        <v>406</v>
      </c>
      <c r="B234" s="15">
        <v>3</v>
      </c>
      <c r="C234" s="15" t="s">
        <v>486</v>
      </c>
      <c r="D234" s="15">
        <v>4</v>
      </c>
      <c r="E234" s="15">
        <v>2</v>
      </c>
      <c r="F234" s="15">
        <v>3472</v>
      </c>
      <c r="G234" s="16">
        <v>32.299999999999997</v>
      </c>
      <c r="H234" s="15">
        <f t="shared" si="3"/>
        <v>108</v>
      </c>
      <c r="I234" s="15">
        <v>21</v>
      </c>
      <c r="J234" s="15" t="b">
        <v>0</v>
      </c>
      <c r="K234" s="15" t="b">
        <v>1</v>
      </c>
    </row>
    <row r="235" spans="1:11" x14ac:dyDescent="0.3">
      <c r="A235" s="15" t="s">
        <v>406</v>
      </c>
      <c r="B235" s="15">
        <v>3</v>
      </c>
      <c r="C235" s="15" t="s">
        <v>486</v>
      </c>
      <c r="D235" s="15">
        <v>4</v>
      </c>
      <c r="E235" s="15">
        <v>3</v>
      </c>
      <c r="F235" s="15">
        <v>3391</v>
      </c>
      <c r="G235" s="16">
        <v>32.299999999999997</v>
      </c>
      <c r="H235" s="15">
        <f t="shared" si="3"/>
        <v>105</v>
      </c>
      <c r="I235" s="15">
        <v>21</v>
      </c>
      <c r="J235" s="15" t="b">
        <v>0</v>
      </c>
      <c r="K235" s="15" t="b">
        <v>1</v>
      </c>
    </row>
    <row r="236" spans="1:11" x14ac:dyDescent="0.3">
      <c r="A236" s="15" t="s">
        <v>406</v>
      </c>
      <c r="B236" s="15">
        <v>3</v>
      </c>
      <c r="C236" s="15" t="s">
        <v>486</v>
      </c>
      <c r="D236" s="15">
        <v>5</v>
      </c>
      <c r="E236" s="15">
        <v>1</v>
      </c>
      <c r="F236" s="15">
        <v>8489</v>
      </c>
      <c r="G236" s="16">
        <v>32.299999999999997</v>
      </c>
      <c r="H236" s="15">
        <f t="shared" si="3"/>
        <v>263</v>
      </c>
      <c r="I236" s="15">
        <v>52</v>
      </c>
      <c r="J236" s="15" t="b">
        <v>0</v>
      </c>
      <c r="K236" s="15" t="b">
        <v>1</v>
      </c>
    </row>
    <row r="237" spans="1:11" x14ac:dyDescent="0.3">
      <c r="A237" s="15" t="s">
        <v>406</v>
      </c>
      <c r="B237" s="15">
        <v>3</v>
      </c>
      <c r="C237" s="15" t="s">
        <v>486</v>
      </c>
      <c r="D237" s="15">
        <v>5</v>
      </c>
      <c r="E237" s="15">
        <v>2</v>
      </c>
      <c r="F237" s="15">
        <v>7822</v>
      </c>
      <c r="G237" s="16">
        <v>32.299999999999997</v>
      </c>
      <c r="H237" s="15">
        <f t="shared" si="3"/>
        <v>243</v>
      </c>
      <c r="I237" s="15">
        <v>52</v>
      </c>
      <c r="J237" s="15" t="b">
        <v>0</v>
      </c>
      <c r="K237" s="15" t="b">
        <v>1</v>
      </c>
    </row>
    <row r="238" spans="1:11" x14ac:dyDescent="0.3">
      <c r="A238" s="15" t="s">
        <v>406</v>
      </c>
      <c r="B238" s="15">
        <v>3</v>
      </c>
      <c r="C238" s="15" t="s">
        <v>486</v>
      </c>
      <c r="D238" s="15">
        <v>5</v>
      </c>
      <c r="E238" s="15">
        <v>3</v>
      </c>
      <c r="F238" s="15">
        <v>7533</v>
      </c>
      <c r="G238" s="16">
        <v>32.299999999999997</v>
      </c>
      <c r="H238" s="15">
        <f t="shared" si="3"/>
        <v>234</v>
      </c>
      <c r="I238" s="15">
        <v>52</v>
      </c>
      <c r="J238" s="15" t="b">
        <v>0</v>
      </c>
      <c r="K238" s="15" t="b">
        <v>1</v>
      </c>
    </row>
    <row r="239" spans="1:11" x14ac:dyDescent="0.3">
      <c r="A239" s="15" t="s">
        <v>406</v>
      </c>
      <c r="B239" s="15">
        <v>3</v>
      </c>
      <c r="C239" s="15" t="s">
        <v>487</v>
      </c>
      <c r="D239" s="15">
        <v>1</v>
      </c>
      <c r="E239" s="15">
        <v>1</v>
      </c>
      <c r="F239" s="15">
        <v>2460</v>
      </c>
      <c r="G239" s="16">
        <v>34.200000000000003</v>
      </c>
      <c r="H239" s="15">
        <f t="shared" si="3"/>
        <v>72</v>
      </c>
      <c r="I239" s="15">
        <v>9</v>
      </c>
      <c r="J239" s="15" t="b">
        <v>1</v>
      </c>
      <c r="K239" s="15" t="b">
        <v>1</v>
      </c>
    </row>
    <row r="240" spans="1:11" x14ac:dyDescent="0.3">
      <c r="A240" s="15" t="s">
        <v>406</v>
      </c>
      <c r="B240" s="15">
        <v>3</v>
      </c>
      <c r="C240" s="15" t="s">
        <v>487</v>
      </c>
      <c r="D240" s="15">
        <v>1</v>
      </c>
      <c r="E240" s="15">
        <v>2</v>
      </c>
      <c r="F240" s="15">
        <v>2249</v>
      </c>
      <c r="G240" s="16">
        <v>34.200000000000003</v>
      </c>
      <c r="H240" s="15">
        <f t="shared" si="3"/>
        <v>66</v>
      </c>
      <c r="I240" s="15">
        <v>9</v>
      </c>
      <c r="J240" s="15" t="b">
        <v>1</v>
      </c>
      <c r="K240" s="15" t="b">
        <v>1</v>
      </c>
    </row>
    <row r="241" spans="1:11" x14ac:dyDescent="0.3">
      <c r="A241" s="15" t="s">
        <v>406</v>
      </c>
      <c r="B241" s="15">
        <v>3</v>
      </c>
      <c r="C241" s="15" t="s">
        <v>487</v>
      </c>
      <c r="D241" s="15">
        <v>1</v>
      </c>
      <c r="E241" s="15">
        <v>3</v>
      </c>
      <c r="F241" s="15">
        <v>1920</v>
      </c>
      <c r="G241" s="16">
        <v>34.200000000000003</v>
      </c>
      <c r="H241" s="15">
        <f t="shared" si="3"/>
        <v>57</v>
      </c>
      <c r="I241" s="15">
        <v>9</v>
      </c>
      <c r="J241" s="15" t="b">
        <v>1</v>
      </c>
      <c r="K241" s="15" t="b">
        <v>1</v>
      </c>
    </row>
    <row r="242" spans="1:11" x14ac:dyDescent="0.3">
      <c r="A242" s="15" t="s">
        <v>406</v>
      </c>
      <c r="B242" s="15">
        <v>3</v>
      </c>
      <c r="C242" s="15" t="s">
        <v>487</v>
      </c>
      <c r="D242" s="15">
        <v>2</v>
      </c>
      <c r="E242" s="15">
        <v>1</v>
      </c>
      <c r="F242" s="15">
        <v>2120</v>
      </c>
      <c r="G242" s="16">
        <v>34.200000000000003</v>
      </c>
      <c r="H242" s="15">
        <f t="shared" si="3"/>
        <v>62</v>
      </c>
      <c r="I242" s="15">
        <v>10</v>
      </c>
      <c r="J242" s="15" t="b">
        <v>1</v>
      </c>
      <c r="K242" s="15" t="b">
        <v>1</v>
      </c>
    </row>
    <row r="243" spans="1:11" x14ac:dyDescent="0.3">
      <c r="A243" s="15" t="s">
        <v>406</v>
      </c>
      <c r="B243" s="15">
        <v>3</v>
      </c>
      <c r="C243" s="15" t="s">
        <v>487</v>
      </c>
      <c r="D243" s="15">
        <v>2</v>
      </c>
      <c r="E243" s="15">
        <v>2</v>
      </c>
      <c r="F243" s="15">
        <v>2040</v>
      </c>
      <c r="G243" s="16">
        <v>34.200000000000003</v>
      </c>
      <c r="H243" s="15">
        <f t="shared" si="3"/>
        <v>60</v>
      </c>
      <c r="I243" s="15">
        <v>10</v>
      </c>
      <c r="J243" s="15" t="b">
        <v>1</v>
      </c>
      <c r="K243" s="15" t="b">
        <v>1</v>
      </c>
    </row>
    <row r="244" spans="1:11" x14ac:dyDescent="0.3">
      <c r="A244" s="15" t="s">
        <v>406</v>
      </c>
      <c r="B244" s="15">
        <v>3</v>
      </c>
      <c r="C244" s="15" t="s">
        <v>487</v>
      </c>
      <c r="D244" s="15">
        <v>2</v>
      </c>
      <c r="E244" s="15">
        <v>3</v>
      </c>
      <c r="F244" s="15">
        <v>1954</v>
      </c>
      <c r="G244" s="16">
        <v>34.200000000000003</v>
      </c>
      <c r="H244" s="15">
        <f t="shared" si="3"/>
        <v>58</v>
      </c>
      <c r="I244" s="15">
        <v>10</v>
      </c>
      <c r="J244" s="15" t="b">
        <v>1</v>
      </c>
      <c r="K244" s="15" t="b">
        <v>1</v>
      </c>
    </row>
    <row r="245" spans="1:11" x14ac:dyDescent="0.3">
      <c r="A245" s="15" t="s">
        <v>406</v>
      </c>
      <c r="B245" s="15">
        <v>3</v>
      </c>
      <c r="C245" s="15" t="s">
        <v>487</v>
      </c>
      <c r="D245" s="15">
        <v>3</v>
      </c>
      <c r="E245" s="15">
        <v>1</v>
      </c>
      <c r="F245" s="15">
        <v>6931</v>
      </c>
      <c r="G245" s="16">
        <v>34.200000000000003</v>
      </c>
      <c r="H245" s="15">
        <f t="shared" si="3"/>
        <v>203</v>
      </c>
      <c r="I245" s="15">
        <v>40</v>
      </c>
      <c r="J245" s="15" t="b">
        <v>1</v>
      </c>
      <c r="K245" s="15" t="b">
        <v>1</v>
      </c>
    </row>
    <row r="246" spans="1:11" x14ac:dyDescent="0.3">
      <c r="A246" s="15" t="s">
        <v>406</v>
      </c>
      <c r="B246" s="15">
        <v>3</v>
      </c>
      <c r="C246" s="15" t="s">
        <v>487</v>
      </c>
      <c r="D246" s="15">
        <v>3</v>
      </c>
      <c r="E246" s="15">
        <v>2</v>
      </c>
      <c r="F246" s="15">
        <v>6444</v>
      </c>
      <c r="G246" s="16">
        <v>34.200000000000003</v>
      </c>
      <c r="H246" s="15">
        <f t="shared" si="3"/>
        <v>189</v>
      </c>
      <c r="I246" s="15">
        <v>40</v>
      </c>
      <c r="J246" s="15" t="b">
        <v>1</v>
      </c>
      <c r="K246" s="15" t="b">
        <v>1</v>
      </c>
    </row>
    <row r="247" spans="1:11" x14ac:dyDescent="0.3">
      <c r="A247" s="15" t="s">
        <v>406</v>
      </c>
      <c r="B247" s="15">
        <v>3</v>
      </c>
      <c r="C247" s="15" t="s">
        <v>487</v>
      </c>
      <c r="D247" s="15">
        <v>3</v>
      </c>
      <c r="E247" s="15">
        <v>3</v>
      </c>
      <c r="F247" s="15">
        <v>6375</v>
      </c>
      <c r="G247" s="16">
        <v>34.200000000000003</v>
      </c>
      <c r="H247" s="15">
        <f t="shared" si="3"/>
        <v>187</v>
      </c>
      <c r="I247" s="15">
        <v>40</v>
      </c>
      <c r="J247" s="15" t="b">
        <v>1</v>
      </c>
      <c r="K247" s="15" t="b">
        <v>1</v>
      </c>
    </row>
    <row r="248" spans="1:11" x14ac:dyDescent="0.3">
      <c r="A248" s="15" t="s">
        <v>406</v>
      </c>
      <c r="B248" s="15">
        <v>3</v>
      </c>
      <c r="C248" s="15" t="s">
        <v>487</v>
      </c>
      <c r="D248" s="15">
        <v>4</v>
      </c>
      <c r="E248" s="15">
        <v>1</v>
      </c>
      <c r="F248" s="15">
        <v>6556</v>
      </c>
      <c r="G248" s="16">
        <v>34.200000000000003</v>
      </c>
      <c r="H248" s="15">
        <f t="shared" si="3"/>
        <v>192</v>
      </c>
      <c r="I248" s="15">
        <v>26</v>
      </c>
      <c r="J248" s="15" t="b">
        <v>0</v>
      </c>
      <c r="K248" s="15" t="b">
        <v>1</v>
      </c>
    </row>
    <row r="249" spans="1:11" x14ac:dyDescent="0.3">
      <c r="A249" s="15" t="s">
        <v>406</v>
      </c>
      <c r="B249" s="15">
        <v>3</v>
      </c>
      <c r="C249" s="15" t="s">
        <v>487</v>
      </c>
      <c r="D249" s="15">
        <v>4</v>
      </c>
      <c r="E249" s="15">
        <v>2</v>
      </c>
      <c r="F249" s="15">
        <v>5716</v>
      </c>
      <c r="G249" s="16">
        <v>34.200000000000003</v>
      </c>
      <c r="H249" s="15">
        <f t="shared" si="3"/>
        <v>168</v>
      </c>
      <c r="I249" s="15">
        <v>26</v>
      </c>
      <c r="J249" s="15" t="b">
        <v>0</v>
      </c>
      <c r="K249" s="15" t="b">
        <v>1</v>
      </c>
    </row>
    <row r="250" spans="1:11" x14ac:dyDescent="0.3">
      <c r="A250" s="15" t="s">
        <v>406</v>
      </c>
      <c r="B250" s="15">
        <v>3</v>
      </c>
      <c r="C250" s="15" t="s">
        <v>487</v>
      </c>
      <c r="D250" s="15">
        <v>4</v>
      </c>
      <c r="E250" s="15">
        <v>3</v>
      </c>
      <c r="F250" s="15">
        <v>5371</v>
      </c>
      <c r="G250" s="16">
        <v>34.200000000000003</v>
      </c>
      <c r="H250" s="15">
        <f t="shared" si="3"/>
        <v>158</v>
      </c>
      <c r="I250" s="15">
        <v>26</v>
      </c>
      <c r="J250" s="15" t="b">
        <v>0</v>
      </c>
      <c r="K250" s="15" t="b">
        <v>1</v>
      </c>
    </row>
    <row r="251" spans="1:11" x14ac:dyDescent="0.3">
      <c r="A251" s="15" t="s">
        <v>406</v>
      </c>
      <c r="B251" s="15">
        <v>3</v>
      </c>
      <c r="C251" s="15" t="s">
        <v>487</v>
      </c>
      <c r="D251" s="15">
        <v>5</v>
      </c>
      <c r="E251" s="15">
        <v>1</v>
      </c>
      <c r="F251" s="15">
        <v>6027</v>
      </c>
      <c r="G251" s="16">
        <v>34.200000000000003</v>
      </c>
      <c r="H251" s="15">
        <f t="shared" si="3"/>
        <v>177</v>
      </c>
      <c r="I251" s="15">
        <v>33</v>
      </c>
      <c r="J251" s="15" t="b">
        <v>0</v>
      </c>
      <c r="K251" s="15" t="b">
        <v>1</v>
      </c>
    </row>
    <row r="252" spans="1:11" x14ac:dyDescent="0.3">
      <c r="A252" s="15" t="s">
        <v>406</v>
      </c>
      <c r="B252" s="15">
        <v>3</v>
      </c>
      <c r="C252" s="15" t="s">
        <v>487</v>
      </c>
      <c r="D252" s="15">
        <v>5</v>
      </c>
      <c r="E252" s="15">
        <v>2</v>
      </c>
      <c r="F252" s="15">
        <v>5721</v>
      </c>
      <c r="G252" s="16">
        <v>34.200000000000003</v>
      </c>
      <c r="H252" s="15">
        <f t="shared" si="3"/>
        <v>168</v>
      </c>
      <c r="I252" s="15">
        <v>33</v>
      </c>
      <c r="J252" s="15" t="b">
        <v>0</v>
      </c>
      <c r="K252" s="15" t="b">
        <v>1</v>
      </c>
    </row>
    <row r="253" spans="1:11" x14ac:dyDescent="0.3">
      <c r="A253" s="15" t="s">
        <v>406</v>
      </c>
      <c r="B253" s="15">
        <v>3</v>
      </c>
      <c r="C253" s="15" t="s">
        <v>487</v>
      </c>
      <c r="D253" s="15">
        <v>5</v>
      </c>
      <c r="E253" s="15">
        <v>3</v>
      </c>
      <c r="F253" s="15">
        <v>5649</v>
      </c>
      <c r="G253" s="16">
        <v>34.200000000000003</v>
      </c>
      <c r="H253" s="15">
        <f t="shared" si="3"/>
        <v>166</v>
      </c>
      <c r="I253" s="15">
        <v>33</v>
      </c>
      <c r="J253" s="15" t="b">
        <v>0</v>
      </c>
      <c r="K253" s="15" t="b">
        <v>1</v>
      </c>
    </row>
    <row r="254" spans="1:11" x14ac:dyDescent="0.3">
      <c r="A254" s="15" t="s">
        <v>406</v>
      </c>
      <c r="B254" s="15">
        <v>3</v>
      </c>
      <c r="C254" s="15" t="s">
        <v>488</v>
      </c>
      <c r="D254" s="15">
        <v>1</v>
      </c>
      <c r="E254" s="15">
        <v>1</v>
      </c>
      <c r="F254" s="15">
        <v>524</v>
      </c>
      <c r="G254" s="16">
        <v>33.159999999999997</v>
      </c>
      <c r="H254" s="15">
        <f t="shared" si="3"/>
        <v>16</v>
      </c>
      <c r="I254" s="15">
        <v>3</v>
      </c>
      <c r="J254" s="15" t="b">
        <v>1</v>
      </c>
      <c r="K254" s="15" t="b">
        <v>1</v>
      </c>
    </row>
    <row r="255" spans="1:11" x14ac:dyDescent="0.3">
      <c r="A255" s="15" t="s">
        <v>406</v>
      </c>
      <c r="B255" s="15">
        <v>3</v>
      </c>
      <c r="C255" s="15" t="s">
        <v>488</v>
      </c>
      <c r="D255" s="15">
        <v>1</v>
      </c>
      <c r="E255" s="15">
        <v>2</v>
      </c>
      <c r="F255" s="15">
        <v>543</v>
      </c>
      <c r="G255" s="16">
        <v>33.159999999999997</v>
      </c>
      <c r="H255" s="15">
        <f t="shared" si="3"/>
        <v>17</v>
      </c>
      <c r="I255" s="15">
        <v>3</v>
      </c>
      <c r="J255" s="15" t="b">
        <v>1</v>
      </c>
      <c r="K255" s="15" t="b">
        <v>1</v>
      </c>
    </row>
    <row r="256" spans="1:11" x14ac:dyDescent="0.3">
      <c r="A256" s="15" t="s">
        <v>406</v>
      </c>
      <c r="B256" s="15">
        <v>3</v>
      </c>
      <c r="C256" s="15" t="s">
        <v>488</v>
      </c>
      <c r="D256" s="15">
        <v>1</v>
      </c>
      <c r="E256" s="15">
        <v>3</v>
      </c>
      <c r="F256" s="15">
        <v>563</v>
      </c>
      <c r="G256" s="16">
        <v>33.159999999999997</v>
      </c>
      <c r="H256" s="15">
        <f t="shared" si="3"/>
        <v>17</v>
      </c>
      <c r="I256" s="15">
        <v>3</v>
      </c>
      <c r="J256" s="15" t="b">
        <v>1</v>
      </c>
      <c r="K256" s="15" t="b">
        <v>1</v>
      </c>
    </row>
    <row r="257" spans="1:11" x14ac:dyDescent="0.3">
      <c r="A257" s="15" t="s">
        <v>406</v>
      </c>
      <c r="B257" s="15">
        <v>3</v>
      </c>
      <c r="C257" s="15" t="s">
        <v>488</v>
      </c>
      <c r="D257" s="15">
        <v>2</v>
      </c>
      <c r="E257" s="15">
        <v>1</v>
      </c>
      <c r="F257" s="15">
        <v>3182</v>
      </c>
      <c r="G257" s="16">
        <v>33.159999999999997</v>
      </c>
      <c r="H257" s="15">
        <f t="shared" si="3"/>
        <v>96</v>
      </c>
      <c r="I257" s="15">
        <v>17</v>
      </c>
      <c r="J257" s="15" t="b">
        <v>1</v>
      </c>
      <c r="K257" s="15" t="b">
        <v>1</v>
      </c>
    </row>
    <row r="258" spans="1:11" x14ac:dyDescent="0.3">
      <c r="A258" s="15" t="s">
        <v>406</v>
      </c>
      <c r="B258" s="15">
        <v>3</v>
      </c>
      <c r="C258" s="15" t="s">
        <v>488</v>
      </c>
      <c r="D258" s="15">
        <v>2</v>
      </c>
      <c r="E258" s="15">
        <v>2</v>
      </c>
      <c r="F258" s="15">
        <v>3042</v>
      </c>
      <c r="G258" s="16">
        <v>33.159999999999997</v>
      </c>
      <c r="H258" s="15">
        <f t="shared" si="3"/>
        <v>92</v>
      </c>
      <c r="I258" s="15">
        <v>17</v>
      </c>
      <c r="J258" s="15" t="b">
        <v>1</v>
      </c>
      <c r="K258" s="15" t="b">
        <v>1</v>
      </c>
    </row>
    <row r="259" spans="1:11" x14ac:dyDescent="0.3">
      <c r="A259" s="15" t="s">
        <v>406</v>
      </c>
      <c r="B259" s="15">
        <v>3</v>
      </c>
      <c r="C259" s="15" t="s">
        <v>488</v>
      </c>
      <c r="D259" s="15">
        <v>2</v>
      </c>
      <c r="E259" s="15">
        <v>3</v>
      </c>
      <c r="F259" s="15">
        <v>2946</v>
      </c>
      <c r="G259" s="16">
        <v>33.159999999999997</v>
      </c>
      <c r="H259" s="15">
        <f t="shared" ref="H259:H322" si="4">ROUNDUP(F259/G259,0)</f>
        <v>89</v>
      </c>
      <c r="I259" s="15">
        <v>17</v>
      </c>
      <c r="J259" s="15" t="b">
        <v>1</v>
      </c>
      <c r="K259" s="15" t="b">
        <v>1</v>
      </c>
    </row>
    <row r="260" spans="1:11" x14ac:dyDescent="0.3">
      <c r="A260" s="15" t="s">
        <v>406</v>
      </c>
      <c r="B260" s="15">
        <v>3</v>
      </c>
      <c r="C260" s="15" t="s">
        <v>488</v>
      </c>
      <c r="D260" s="15">
        <v>3</v>
      </c>
      <c r="E260" s="15">
        <v>1</v>
      </c>
      <c r="F260" s="15">
        <v>5845</v>
      </c>
      <c r="G260" s="16">
        <v>33.159999999999997</v>
      </c>
      <c r="H260" s="15">
        <f t="shared" si="4"/>
        <v>177</v>
      </c>
      <c r="I260" s="15">
        <v>40</v>
      </c>
      <c r="J260" s="15" t="b">
        <v>1</v>
      </c>
      <c r="K260" s="15" t="b">
        <v>1</v>
      </c>
    </row>
    <row r="261" spans="1:11" x14ac:dyDescent="0.3">
      <c r="A261" s="15" t="s">
        <v>406</v>
      </c>
      <c r="B261" s="15">
        <v>3</v>
      </c>
      <c r="C261" s="15" t="s">
        <v>488</v>
      </c>
      <c r="D261" s="15">
        <v>3</v>
      </c>
      <c r="E261" s="15">
        <v>2</v>
      </c>
      <c r="F261" s="15">
        <v>5274</v>
      </c>
      <c r="G261" s="16">
        <v>33.159999999999997</v>
      </c>
      <c r="H261" s="15">
        <f t="shared" si="4"/>
        <v>160</v>
      </c>
      <c r="I261" s="15">
        <v>40</v>
      </c>
      <c r="J261" s="15" t="b">
        <v>1</v>
      </c>
      <c r="K261" s="15" t="b">
        <v>1</v>
      </c>
    </row>
    <row r="262" spans="1:11" x14ac:dyDescent="0.3">
      <c r="A262" s="15" t="s">
        <v>406</v>
      </c>
      <c r="B262" s="15">
        <v>3</v>
      </c>
      <c r="C262" s="15" t="s">
        <v>488</v>
      </c>
      <c r="D262" s="15">
        <v>3</v>
      </c>
      <c r="E262" s="15">
        <v>3</v>
      </c>
      <c r="F262" s="15">
        <v>5008</v>
      </c>
      <c r="G262" s="16">
        <v>33.159999999999997</v>
      </c>
      <c r="H262" s="15">
        <f t="shared" si="4"/>
        <v>152</v>
      </c>
      <c r="I262" s="15">
        <v>40</v>
      </c>
      <c r="J262" s="15" t="b">
        <v>1</v>
      </c>
      <c r="K262" s="15" t="b">
        <v>1</v>
      </c>
    </row>
    <row r="263" spans="1:11" x14ac:dyDescent="0.3">
      <c r="A263" s="15" t="s">
        <v>406</v>
      </c>
      <c r="B263" s="15">
        <v>3</v>
      </c>
      <c r="C263" s="15" t="s">
        <v>488</v>
      </c>
      <c r="D263" s="15">
        <v>4</v>
      </c>
      <c r="E263" s="15">
        <v>1</v>
      </c>
      <c r="F263" s="15">
        <v>3758</v>
      </c>
      <c r="G263" s="16">
        <v>33.159999999999997</v>
      </c>
      <c r="H263" s="15">
        <f t="shared" si="4"/>
        <v>114</v>
      </c>
      <c r="I263" s="15">
        <v>24</v>
      </c>
      <c r="J263" s="15" t="b">
        <v>0</v>
      </c>
      <c r="K263" s="15" t="b">
        <v>1</v>
      </c>
    </row>
    <row r="264" spans="1:11" x14ac:dyDescent="0.3">
      <c r="A264" s="15" t="s">
        <v>406</v>
      </c>
      <c r="B264" s="15">
        <v>3</v>
      </c>
      <c r="C264" s="15" t="s">
        <v>488</v>
      </c>
      <c r="D264" s="15">
        <v>4</v>
      </c>
      <c r="E264" s="15">
        <v>2</v>
      </c>
      <c r="F264" s="15">
        <v>3547</v>
      </c>
      <c r="G264" s="16">
        <v>33.159999999999997</v>
      </c>
      <c r="H264" s="15">
        <f t="shared" si="4"/>
        <v>107</v>
      </c>
      <c r="I264" s="15">
        <v>24</v>
      </c>
      <c r="J264" s="15" t="b">
        <v>0</v>
      </c>
      <c r="K264" s="15" t="b">
        <v>1</v>
      </c>
    </row>
    <row r="265" spans="1:11" x14ac:dyDescent="0.3">
      <c r="A265" s="15" t="s">
        <v>406</v>
      </c>
      <c r="B265" s="15">
        <v>3</v>
      </c>
      <c r="C265" s="15" t="s">
        <v>488</v>
      </c>
      <c r="D265" s="15">
        <v>4</v>
      </c>
      <c r="E265" s="15">
        <v>3</v>
      </c>
      <c r="F265" s="15">
        <v>3335</v>
      </c>
      <c r="G265" s="16">
        <v>33.159999999999997</v>
      </c>
      <c r="H265" s="15">
        <f t="shared" si="4"/>
        <v>101</v>
      </c>
      <c r="I265" s="15">
        <v>24</v>
      </c>
      <c r="J265" s="15" t="b">
        <v>0</v>
      </c>
      <c r="K265" s="15" t="b">
        <v>1</v>
      </c>
    </row>
    <row r="266" spans="1:11" x14ac:dyDescent="0.3">
      <c r="A266" s="15" t="s">
        <v>406</v>
      </c>
      <c r="B266" s="15">
        <v>3</v>
      </c>
      <c r="C266" s="15" t="s">
        <v>488</v>
      </c>
      <c r="D266" s="15">
        <v>5</v>
      </c>
      <c r="E266" s="15">
        <v>1</v>
      </c>
      <c r="F266" s="15">
        <v>4088</v>
      </c>
      <c r="G266" s="16">
        <v>33.159999999999997</v>
      </c>
      <c r="H266" s="15">
        <f t="shared" si="4"/>
        <v>124</v>
      </c>
      <c r="I266" s="15">
        <v>28</v>
      </c>
      <c r="J266" s="15" t="b">
        <v>0</v>
      </c>
      <c r="K266" s="15" t="b">
        <v>1</v>
      </c>
    </row>
    <row r="267" spans="1:11" x14ac:dyDescent="0.3">
      <c r="A267" s="15" t="s">
        <v>406</v>
      </c>
      <c r="B267" s="15">
        <v>3</v>
      </c>
      <c r="C267" s="15" t="s">
        <v>488</v>
      </c>
      <c r="D267" s="15">
        <v>5</v>
      </c>
      <c r="E267" s="15">
        <v>2</v>
      </c>
      <c r="F267" s="15">
        <v>3784</v>
      </c>
      <c r="G267" s="16">
        <v>33.159999999999997</v>
      </c>
      <c r="H267" s="15">
        <f t="shared" si="4"/>
        <v>115</v>
      </c>
      <c r="I267" s="15">
        <v>28</v>
      </c>
      <c r="J267" s="15" t="b">
        <v>0</v>
      </c>
      <c r="K267" s="15" t="b">
        <v>1</v>
      </c>
    </row>
    <row r="268" spans="1:11" x14ac:dyDescent="0.3">
      <c r="A268" s="15" t="s">
        <v>406</v>
      </c>
      <c r="B268" s="15">
        <v>3</v>
      </c>
      <c r="C268" s="15" t="s">
        <v>488</v>
      </c>
      <c r="D268" s="15">
        <v>5</v>
      </c>
      <c r="E268" s="15">
        <v>3</v>
      </c>
      <c r="F268" s="15">
        <v>3626</v>
      </c>
      <c r="G268" s="16">
        <v>33.159999999999997</v>
      </c>
      <c r="H268" s="15">
        <f t="shared" si="4"/>
        <v>110</v>
      </c>
      <c r="I268" s="15">
        <v>28</v>
      </c>
      <c r="J268" s="15" t="b">
        <v>0</v>
      </c>
      <c r="K268" s="15" t="b">
        <v>1</v>
      </c>
    </row>
    <row r="269" spans="1:11" x14ac:dyDescent="0.3">
      <c r="A269" s="15" t="s">
        <v>406</v>
      </c>
      <c r="B269" s="15">
        <v>3</v>
      </c>
      <c r="C269" s="15" t="s">
        <v>489</v>
      </c>
      <c r="D269" s="15">
        <v>1</v>
      </c>
      <c r="E269" s="15">
        <v>1</v>
      </c>
      <c r="F269" s="15">
        <v>1146</v>
      </c>
      <c r="G269" s="16">
        <v>30.59</v>
      </c>
      <c r="H269" s="15">
        <f t="shared" si="4"/>
        <v>38</v>
      </c>
      <c r="I269" s="15">
        <v>8</v>
      </c>
      <c r="J269" s="15" t="b">
        <v>1</v>
      </c>
      <c r="K269" s="15" t="b">
        <v>1</v>
      </c>
    </row>
    <row r="270" spans="1:11" x14ac:dyDescent="0.3">
      <c r="A270" s="15" t="s">
        <v>406</v>
      </c>
      <c r="B270" s="15">
        <v>3</v>
      </c>
      <c r="C270" s="15" t="s">
        <v>489</v>
      </c>
      <c r="D270" s="15">
        <v>1</v>
      </c>
      <c r="E270" s="15">
        <v>2</v>
      </c>
      <c r="F270" s="15">
        <v>1038</v>
      </c>
      <c r="G270" s="16">
        <v>30.59</v>
      </c>
      <c r="H270" s="15">
        <f t="shared" si="4"/>
        <v>34</v>
      </c>
      <c r="I270" s="15">
        <v>8</v>
      </c>
      <c r="J270" s="15" t="b">
        <v>1</v>
      </c>
      <c r="K270" s="15" t="b">
        <v>1</v>
      </c>
    </row>
    <row r="271" spans="1:11" x14ac:dyDescent="0.3">
      <c r="A271" s="15" t="s">
        <v>406</v>
      </c>
      <c r="B271" s="15">
        <v>3</v>
      </c>
      <c r="C271" s="15" t="s">
        <v>489</v>
      </c>
      <c r="D271" s="15">
        <v>1</v>
      </c>
      <c r="E271" s="15">
        <v>3</v>
      </c>
      <c r="F271" s="15">
        <v>987</v>
      </c>
      <c r="G271" s="16">
        <v>30.59</v>
      </c>
      <c r="H271" s="15">
        <f t="shared" si="4"/>
        <v>33</v>
      </c>
      <c r="I271" s="15">
        <v>8</v>
      </c>
      <c r="J271" s="15" t="b">
        <v>1</v>
      </c>
      <c r="K271" s="15" t="b">
        <v>1</v>
      </c>
    </row>
    <row r="272" spans="1:11" x14ac:dyDescent="0.3">
      <c r="A272" s="15" t="s">
        <v>406</v>
      </c>
      <c r="B272" s="15">
        <v>3</v>
      </c>
      <c r="C272" s="15" t="s">
        <v>489</v>
      </c>
      <c r="D272" s="15">
        <v>2</v>
      </c>
      <c r="E272" s="15">
        <v>1</v>
      </c>
      <c r="F272" s="15">
        <v>1575</v>
      </c>
      <c r="G272" s="16">
        <v>30.59</v>
      </c>
      <c r="H272" s="15">
        <f t="shared" si="4"/>
        <v>52</v>
      </c>
      <c r="I272" s="15">
        <v>9</v>
      </c>
      <c r="J272" s="15" t="b">
        <v>1</v>
      </c>
      <c r="K272" s="15" t="b">
        <v>1</v>
      </c>
    </row>
    <row r="273" spans="1:11" x14ac:dyDescent="0.3">
      <c r="A273" s="15" t="s">
        <v>406</v>
      </c>
      <c r="B273" s="15">
        <v>3</v>
      </c>
      <c r="C273" s="15" t="s">
        <v>489</v>
      </c>
      <c r="D273" s="15">
        <v>2</v>
      </c>
      <c r="E273" s="15">
        <v>2</v>
      </c>
      <c r="F273" s="15">
        <v>1332</v>
      </c>
      <c r="G273" s="16">
        <v>30.59</v>
      </c>
      <c r="H273" s="15">
        <f t="shared" si="4"/>
        <v>44</v>
      </c>
      <c r="I273" s="15">
        <v>9</v>
      </c>
      <c r="J273" s="15" t="b">
        <v>1</v>
      </c>
      <c r="K273" s="15" t="b">
        <v>1</v>
      </c>
    </row>
    <row r="274" spans="1:11" x14ac:dyDescent="0.3">
      <c r="A274" s="15" t="s">
        <v>406</v>
      </c>
      <c r="B274" s="15">
        <v>3</v>
      </c>
      <c r="C274" s="15" t="s">
        <v>489</v>
      </c>
      <c r="D274" s="15">
        <v>2</v>
      </c>
      <c r="E274" s="15">
        <v>3</v>
      </c>
      <c r="F274" s="15">
        <v>1166</v>
      </c>
      <c r="G274" s="16">
        <v>30.59</v>
      </c>
      <c r="H274" s="15">
        <f t="shared" si="4"/>
        <v>39</v>
      </c>
      <c r="I274" s="15">
        <v>9</v>
      </c>
      <c r="J274" s="15" t="b">
        <v>1</v>
      </c>
      <c r="K274" s="15" t="b">
        <v>1</v>
      </c>
    </row>
    <row r="275" spans="1:11" x14ac:dyDescent="0.3">
      <c r="A275" s="15" t="s">
        <v>406</v>
      </c>
      <c r="B275" s="15">
        <v>3</v>
      </c>
      <c r="C275" s="15" t="s">
        <v>489</v>
      </c>
      <c r="D275" s="15">
        <v>3</v>
      </c>
      <c r="E275" s="15">
        <v>1</v>
      </c>
      <c r="F275" s="15">
        <v>885</v>
      </c>
      <c r="G275" s="16">
        <v>30.59</v>
      </c>
      <c r="H275" s="15">
        <f t="shared" si="4"/>
        <v>29</v>
      </c>
      <c r="I275" s="15">
        <v>5</v>
      </c>
      <c r="J275" s="15" t="b">
        <v>1</v>
      </c>
      <c r="K275" s="15" t="b">
        <v>1</v>
      </c>
    </row>
    <row r="276" spans="1:11" x14ac:dyDescent="0.3">
      <c r="A276" s="15" t="s">
        <v>406</v>
      </c>
      <c r="B276" s="15">
        <v>3</v>
      </c>
      <c r="C276" s="15" t="s">
        <v>489</v>
      </c>
      <c r="D276" s="15">
        <v>3</v>
      </c>
      <c r="E276" s="15">
        <v>2</v>
      </c>
      <c r="F276" s="15">
        <v>861</v>
      </c>
      <c r="G276" s="16">
        <v>30.59</v>
      </c>
      <c r="H276" s="15">
        <f t="shared" si="4"/>
        <v>29</v>
      </c>
      <c r="I276" s="15">
        <v>5</v>
      </c>
      <c r="J276" s="15" t="b">
        <v>1</v>
      </c>
      <c r="K276" s="15" t="b">
        <v>1</v>
      </c>
    </row>
    <row r="277" spans="1:11" x14ac:dyDescent="0.3">
      <c r="A277" s="15" t="s">
        <v>406</v>
      </c>
      <c r="B277" s="15">
        <v>3</v>
      </c>
      <c r="C277" s="15" t="s">
        <v>489</v>
      </c>
      <c r="D277" s="15">
        <v>3</v>
      </c>
      <c r="E277" s="15">
        <v>3</v>
      </c>
      <c r="F277" s="15">
        <v>779</v>
      </c>
      <c r="G277" s="16">
        <v>30.59</v>
      </c>
      <c r="H277" s="15">
        <f t="shared" si="4"/>
        <v>26</v>
      </c>
      <c r="I277" s="15">
        <v>5</v>
      </c>
      <c r="J277" s="15" t="b">
        <v>1</v>
      </c>
      <c r="K277" s="15" t="b">
        <v>1</v>
      </c>
    </row>
    <row r="278" spans="1:11" x14ac:dyDescent="0.3">
      <c r="A278" s="15" t="s">
        <v>406</v>
      </c>
      <c r="B278" s="15">
        <v>3</v>
      </c>
      <c r="C278" s="15" t="s">
        <v>489</v>
      </c>
      <c r="D278" s="15">
        <v>4</v>
      </c>
      <c r="E278" s="15">
        <v>1</v>
      </c>
      <c r="F278" s="15">
        <v>299</v>
      </c>
      <c r="G278" s="16">
        <v>30.59</v>
      </c>
      <c r="H278" s="15">
        <f t="shared" si="4"/>
        <v>10</v>
      </c>
      <c r="I278" s="15">
        <v>2</v>
      </c>
      <c r="J278" s="15" t="b">
        <v>0</v>
      </c>
      <c r="K278" s="15" t="b">
        <v>1</v>
      </c>
    </row>
    <row r="279" spans="1:11" x14ac:dyDescent="0.3">
      <c r="A279" s="15" t="s">
        <v>406</v>
      </c>
      <c r="B279" s="15">
        <v>3</v>
      </c>
      <c r="C279" s="15" t="s">
        <v>489</v>
      </c>
      <c r="D279" s="15">
        <v>4</v>
      </c>
      <c r="E279" s="15">
        <v>2</v>
      </c>
      <c r="F279" s="15">
        <v>278</v>
      </c>
      <c r="G279" s="16">
        <v>30.59</v>
      </c>
      <c r="H279" s="15">
        <f t="shared" si="4"/>
        <v>10</v>
      </c>
      <c r="I279" s="15">
        <v>2</v>
      </c>
      <c r="J279" s="15" t="b">
        <v>0</v>
      </c>
      <c r="K279" s="15" t="b">
        <v>1</v>
      </c>
    </row>
    <row r="280" spans="1:11" x14ac:dyDescent="0.3">
      <c r="A280" s="15" t="s">
        <v>406</v>
      </c>
      <c r="B280" s="15">
        <v>3</v>
      </c>
      <c r="C280" s="15" t="s">
        <v>489</v>
      </c>
      <c r="D280" s="15">
        <v>4</v>
      </c>
      <c r="E280" s="15">
        <v>3</v>
      </c>
      <c r="F280" s="15">
        <v>277</v>
      </c>
      <c r="G280" s="16">
        <v>30.59</v>
      </c>
      <c r="H280" s="15">
        <f t="shared" si="4"/>
        <v>10</v>
      </c>
      <c r="I280" s="15">
        <v>2</v>
      </c>
      <c r="J280" s="15" t="b">
        <v>0</v>
      </c>
      <c r="K280" s="15" t="b">
        <v>1</v>
      </c>
    </row>
    <row r="281" spans="1:11" x14ac:dyDescent="0.3">
      <c r="A281" s="15" t="s">
        <v>406</v>
      </c>
      <c r="B281" s="15">
        <v>3</v>
      </c>
      <c r="C281" s="15" t="s">
        <v>489</v>
      </c>
      <c r="D281" s="15">
        <v>5</v>
      </c>
      <c r="E281" s="15">
        <v>1</v>
      </c>
      <c r="F281" s="15">
        <v>765</v>
      </c>
      <c r="G281" s="16">
        <v>30.59</v>
      </c>
      <c r="H281" s="15">
        <f t="shared" si="4"/>
        <v>26</v>
      </c>
      <c r="I281" s="15">
        <v>7</v>
      </c>
      <c r="J281" s="15" t="b">
        <v>0</v>
      </c>
      <c r="K281" s="15" t="b">
        <v>1</v>
      </c>
    </row>
    <row r="282" spans="1:11" x14ac:dyDescent="0.3">
      <c r="A282" s="15" t="s">
        <v>406</v>
      </c>
      <c r="B282" s="15">
        <v>3</v>
      </c>
      <c r="C282" s="15" t="s">
        <v>489</v>
      </c>
      <c r="D282" s="15">
        <v>5</v>
      </c>
      <c r="E282" s="15">
        <v>2</v>
      </c>
      <c r="F282" s="15">
        <v>691</v>
      </c>
      <c r="G282" s="16">
        <v>30.59</v>
      </c>
      <c r="H282" s="15">
        <f t="shared" si="4"/>
        <v>23</v>
      </c>
      <c r="I282" s="15">
        <v>7</v>
      </c>
      <c r="J282" s="15" t="b">
        <v>0</v>
      </c>
      <c r="K282" s="15" t="b">
        <v>1</v>
      </c>
    </row>
    <row r="283" spans="1:11" x14ac:dyDescent="0.3">
      <c r="A283" s="15" t="s">
        <v>406</v>
      </c>
      <c r="B283" s="15">
        <v>3</v>
      </c>
      <c r="C283" s="15" t="s">
        <v>489</v>
      </c>
      <c r="D283" s="15">
        <v>5</v>
      </c>
      <c r="E283" s="15">
        <v>3</v>
      </c>
      <c r="F283" s="15">
        <v>687</v>
      </c>
      <c r="G283" s="16">
        <v>30.59</v>
      </c>
      <c r="H283" s="15">
        <f t="shared" si="4"/>
        <v>23</v>
      </c>
      <c r="I283" s="15">
        <v>7</v>
      </c>
      <c r="J283" s="15" t="b">
        <v>0</v>
      </c>
      <c r="K283" s="15" t="b">
        <v>1</v>
      </c>
    </row>
    <row r="284" spans="1:11" x14ac:dyDescent="0.3">
      <c r="A284" s="15" t="s">
        <v>406</v>
      </c>
      <c r="B284" s="15">
        <v>3</v>
      </c>
      <c r="C284" s="15" t="s">
        <v>490</v>
      </c>
      <c r="D284" s="15">
        <v>1</v>
      </c>
      <c r="E284" s="15">
        <v>1</v>
      </c>
      <c r="F284" s="15">
        <v>2098</v>
      </c>
      <c r="G284" s="16">
        <v>32.19</v>
      </c>
      <c r="H284" s="15">
        <f t="shared" si="4"/>
        <v>66</v>
      </c>
      <c r="I284" s="15">
        <v>17</v>
      </c>
      <c r="J284" s="15" t="b">
        <v>1</v>
      </c>
      <c r="K284" s="15" t="b">
        <v>1</v>
      </c>
    </row>
    <row r="285" spans="1:11" x14ac:dyDescent="0.3">
      <c r="A285" s="15" t="s">
        <v>406</v>
      </c>
      <c r="B285" s="15">
        <v>3</v>
      </c>
      <c r="C285" s="15" t="s">
        <v>490</v>
      </c>
      <c r="D285" s="15">
        <v>1</v>
      </c>
      <c r="E285" s="15">
        <v>2</v>
      </c>
      <c r="F285" s="15">
        <v>1914</v>
      </c>
      <c r="G285" s="16">
        <v>32.19</v>
      </c>
      <c r="H285" s="15">
        <f t="shared" si="4"/>
        <v>60</v>
      </c>
      <c r="I285" s="15">
        <v>17</v>
      </c>
      <c r="J285" s="15" t="b">
        <v>1</v>
      </c>
      <c r="K285" s="15" t="b">
        <v>1</v>
      </c>
    </row>
    <row r="286" spans="1:11" x14ac:dyDescent="0.3">
      <c r="A286" s="15" t="s">
        <v>406</v>
      </c>
      <c r="B286" s="15">
        <v>3</v>
      </c>
      <c r="C286" s="15" t="s">
        <v>490</v>
      </c>
      <c r="D286" s="15">
        <v>1</v>
      </c>
      <c r="E286" s="15">
        <v>3</v>
      </c>
      <c r="F286" s="15">
        <v>1951</v>
      </c>
      <c r="G286" s="16">
        <v>32.19</v>
      </c>
      <c r="H286" s="15">
        <f t="shared" si="4"/>
        <v>61</v>
      </c>
      <c r="I286" s="15">
        <v>17</v>
      </c>
      <c r="J286" s="15" t="b">
        <v>1</v>
      </c>
      <c r="K286" s="15" t="b">
        <v>1</v>
      </c>
    </row>
    <row r="287" spans="1:11" x14ac:dyDescent="0.3">
      <c r="A287" s="15" t="s">
        <v>406</v>
      </c>
      <c r="B287" s="15">
        <v>3</v>
      </c>
      <c r="C287" s="15" t="s">
        <v>490</v>
      </c>
      <c r="D287" s="15">
        <v>2</v>
      </c>
      <c r="E287" s="15">
        <v>1</v>
      </c>
      <c r="F287" s="15">
        <v>2086</v>
      </c>
      <c r="G287" s="16">
        <v>32.19</v>
      </c>
      <c r="H287" s="15">
        <f t="shared" si="4"/>
        <v>65</v>
      </c>
      <c r="I287" s="15">
        <v>11</v>
      </c>
      <c r="J287" s="15" t="b">
        <v>1</v>
      </c>
      <c r="K287" s="15" t="b">
        <v>1</v>
      </c>
    </row>
    <row r="288" spans="1:11" x14ac:dyDescent="0.3">
      <c r="A288" s="15" t="s">
        <v>406</v>
      </c>
      <c r="B288" s="15">
        <v>3</v>
      </c>
      <c r="C288" s="15" t="s">
        <v>490</v>
      </c>
      <c r="D288" s="15">
        <v>2</v>
      </c>
      <c r="E288" s="15">
        <v>2</v>
      </c>
      <c r="F288" s="15">
        <v>1949</v>
      </c>
      <c r="G288" s="16">
        <v>32.19</v>
      </c>
      <c r="H288" s="15">
        <f t="shared" si="4"/>
        <v>61</v>
      </c>
      <c r="I288" s="15">
        <v>11</v>
      </c>
      <c r="J288" s="15" t="b">
        <v>1</v>
      </c>
      <c r="K288" s="15" t="b">
        <v>1</v>
      </c>
    </row>
    <row r="289" spans="1:11" x14ac:dyDescent="0.3">
      <c r="A289" s="15" t="s">
        <v>406</v>
      </c>
      <c r="B289" s="15">
        <v>3</v>
      </c>
      <c r="C289" s="15" t="s">
        <v>490</v>
      </c>
      <c r="D289" s="15">
        <v>2</v>
      </c>
      <c r="E289" s="15">
        <v>3</v>
      </c>
      <c r="F289" s="15">
        <v>2099</v>
      </c>
      <c r="G289" s="16">
        <v>32.19</v>
      </c>
      <c r="H289" s="15">
        <f t="shared" si="4"/>
        <v>66</v>
      </c>
      <c r="I289" s="15">
        <v>11</v>
      </c>
      <c r="J289" s="15" t="b">
        <v>1</v>
      </c>
      <c r="K289" s="15" t="b">
        <v>1</v>
      </c>
    </row>
    <row r="290" spans="1:11" x14ac:dyDescent="0.3">
      <c r="A290" s="15" t="s">
        <v>406</v>
      </c>
      <c r="B290" s="15">
        <v>3</v>
      </c>
      <c r="C290" s="15" t="s">
        <v>490</v>
      </c>
      <c r="D290" s="15">
        <v>3</v>
      </c>
      <c r="E290" s="15">
        <v>1</v>
      </c>
      <c r="F290" s="15">
        <v>3195</v>
      </c>
      <c r="G290" s="16">
        <v>32.19</v>
      </c>
      <c r="H290" s="15">
        <f t="shared" si="4"/>
        <v>100</v>
      </c>
      <c r="I290" s="15">
        <v>22</v>
      </c>
      <c r="J290" s="15" t="b">
        <v>1</v>
      </c>
      <c r="K290" s="15" t="b">
        <v>1</v>
      </c>
    </row>
    <row r="291" spans="1:11" x14ac:dyDescent="0.3">
      <c r="A291" s="15" t="s">
        <v>406</v>
      </c>
      <c r="B291" s="15">
        <v>3</v>
      </c>
      <c r="C291" s="15" t="s">
        <v>490</v>
      </c>
      <c r="D291" s="15">
        <v>3</v>
      </c>
      <c r="E291" s="15">
        <v>2</v>
      </c>
      <c r="F291" s="15">
        <v>3105</v>
      </c>
      <c r="G291" s="16">
        <v>32.19</v>
      </c>
      <c r="H291" s="15">
        <f t="shared" si="4"/>
        <v>97</v>
      </c>
      <c r="I291" s="15">
        <v>22</v>
      </c>
      <c r="J291" s="15" t="b">
        <v>1</v>
      </c>
      <c r="K291" s="15" t="b">
        <v>1</v>
      </c>
    </row>
    <row r="292" spans="1:11" x14ac:dyDescent="0.3">
      <c r="A292" s="15" t="s">
        <v>406</v>
      </c>
      <c r="B292" s="15">
        <v>3</v>
      </c>
      <c r="C292" s="15" t="s">
        <v>490</v>
      </c>
      <c r="D292" s="15">
        <v>3</v>
      </c>
      <c r="E292" s="15">
        <v>3</v>
      </c>
      <c r="F292" s="15">
        <v>3072</v>
      </c>
      <c r="G292" s="16">
        <v>32.19</v>
      </c>
      <c r="H292" s="15">
        <f t="shared" si="4"/>
        <v>96</v>
      </c>
      <c r="I292" s="15">
        <v>22</v>
      </c>
      <c r="J292" s="15" t="b">
        <v>1</v>
      </c>
      <c r="K292" s="15" t="b">
        <v>1</v>
      </c>
    </row>
    <row r="293" spans="1:11" x14ac:dyDescent="0.3">
      <c r="A293" s="15" t="s">
        <v>406</v>
      </c>
      <c r="B293" s="15">
        <v>3</v>
      </c>
      <c r="C293" s="15" t="s">
        <v>490</v>
      </c>
      <c r="D293" s="15">
        <v>4</v>
      </c>
      <c r="E293" s="15">
        <v>1</v>
      </c>
      <c r="F293" s="15">
        <v>2403</v>
      </c>
      <c r="G293" s="16">
        <v>32.19</v>
      </c>
      <c r="H293" s="15">
        <f t="shared" si="4"/>
        <v>75</v>
      </c>
      <c r="I293" s="15">
        <v>13</v>
      </c>
      <c r="J293" s="15" t="b">
        <v>0</v>
      </c>
      <c r="K293" s="15" t="b">
        <v>1</v>
      </c>
    </row>
    <row r="294" spans="1:11" x14ac:dyDescent="0.3">
      <c r="A294" s="15" t="s">
        <v>406</v>
      </c>
      <c r="B294" s="15">
        <v>3</v>
      </c>
      <c r="C294" s="15" t="s">
        <v>490</v>
      </c>
      <c r="D294" s="15">
        <v>4</v>
      </c>
      <c r="E294" s="15">
        <v>2</v>
      </c>
      <c r="F294" s="15">
        <v>2055</v>
      </c>
      <c r="G294" s="16">
        <v>32.19</v>
      </c>
      <c r="H294" s="15">
        <f t="shared" si="4"/>
        <v>64</v>
      </c>
      <c r="I294" s="15">
        <v>13</v>
      </c>
      <c r="J294" s="15" t="b">
        <v>0</v>
      </c>
      <c r="K294" s="15" t="b">
        <v>1</v>
      </c>
    </row>
    <row r="295" spans="1:11" x14ac:dyDescent="0.3">
      <c r="A295" s="15" t="s">
        <v>406</v>
      </c>
      <c r="B295" s="15">
        <v>3</v>
      </c>
      <c r="C295" s="15" t="s">
        <v>490</v>
      </c>
      <c r="D295" s="15">
        <v>4</v>
      </c>
      <c r="E295" s="15">
        <v>3</v>
      </c>
      <c r="F295" s="15">
        <v>1941</v>
      </c>
      <c r="G295" s="16">
        <v>32.19</v>
      </c>
      <c r="H295" s="15">
        <f t="shared" si="4"/>
        <v>61</v>
      </c>
      <c r="I295" s="15">
        <v>13</v>
      </c>
      <c r="J295" s="15" t="b">
        <v>0</v>
      </c>
      <c r="K295" s="15" t="b">
        <v>1</v>
      </c>
    </row>
    <row r="296" spans="1:11" x14ac:dyDescent="0.3">
      <c r="A296" s="15" t="s">
        <v>406</v>
      </c>
      <c r="B296" s="15">
        <v>3</v>
      </c>
      <c r="C296" s="15" t="s">
        <v>490</v>
      </c>
      <c r="D296" s="15">
        <v>5</v>
      </c>
      <c r="E296" s="15">
        <v>1</v>
      </c>
      <c r="F296" s="15">
        <v>5047</v>
      </c>
      <c r="G296" s="16">
        <v>32.19</v>
      </c>
      <c r="H296" s="15">
        <f t="shared" si="4"/>
        <v>157</v>
      </c>
      <c r="I296" s="15">
        <v>35</v>
      </c>
      <c r="J296" s="15" t="b">
        <v>0</v>
      </c>
      <c r="K296" s="15" t="b">
        <v>1</v>
      </c>
    </row>
    <row r="297" spans="1:11" x14ac:dyDescent="0.3">
      <c r="A297" s="15" t="s">
        <v>406</v>
      </c>
      <c r="B297" s="15">
        <v>3</v>
      </c>
      <c r="C297" s="15" t="s">
        <v>490</v>
      </c>
      <c r="D297" s="15">
        <v>5</v>
      </c>
      <c r="E297" s="15">
        <v>2</v>
      </c>
      <c r="F297" s="15">
        <v>4723</v>
      </c>
      <c r="G297" s="16">
        <v>32.19</v>
      </c>
      <c r="H297" s="15">
        <f t="shared" si="4"/>
        <v>147</v>
      </c>
      <c r="I297" s="15">
        <v>35</v>
      </c>
      <c r="J297" s="15" t="b">
        <v>0</v>
      </c>
      <c r="K297" s="15" t="b">
        <v>1</v>
      </c>
    </row>
    <row r="298" spans="1:11" x14ac:dyDescent="0.3">
      <c r="A298" s="15" t="s">
        <v>406</v>
      </c>
      <c r="B298" s="15">
        <v>3</v>
      </c>
      <c r="C298" s="15" t="s">
        <v>490</v>
      </c>
      <c r="D298" s="15">
        <v>5</v>
      </c>
      <c r="E298" s="15">
        <v>3</v>
      </c>
      <c r="F298" s="15">
        <v>4616</v>
      </c>
      <c r="G298" s="16">
        <v>32.19</v>
      </c>
      <c r="H298" s="15">
        <f t="shared" si="4"/>
        <v>144</v>
      </c>
      <c r="I298" s="15">
        <v>35</v>
      </c>
      <c r="J298" s="15" t="b">
        <v>0</v>
      </c>
      <c r="K298" s="15" t="b">
        <v>1</v>
      </c>
    </row>
    <row r="299" spans="1:11" x14ac:dyDescent="0.3">
      <c r="A299" s="15" t="s">
        <v>406</v>
      </c>
      <c r="B299" s="15">
        <v>3</v>
      </c>
      <c r="C299" s="15" t="s">
        <v>491</v>
      </c>
      <c r="D299" s="15">
        <v>1</v>
      </c>
      <c r="E299" s="15">
        <v>1</v>
      </c>
      <c r="F299" s="15">
        <v>1138</v>
      </c>
      <c r="G299" s="16">
        <v>32.67</v>
      </c>
      <c r="H299" s="15">
        <f t="shared" si="4"/>
        <v>35</v>
      </c>
      <c r="I299" s="15">
        <v>6</v>
      </c>
      <c r="J299" s="15" t="b">
        <v>1</v>
      </c>
      <c r="K299" s="15" t="b">
        <v>1</v>
      </c>
    </row>
    <row r="300" spans="1:11" x14ac:dyDescent="0.3">
      <c r="A300" s="15" t="s">
        <v>406</v>
      </c>
      <c r="B300" s="15">
        <v>3</v>
      </c>
      <c r="C300" s="15" t="s">
        <v>491</v>
      </c>
      <c r="D300" s="15">
        <v>1</v>
      </c>
      <c r="E300" s="15">
        <v>2</v>
      </c>
      <c r="F300" s="15">
        <v>1158</v>
      </c>
      <c r="G300" s="16">
        <v>32.67</v>
      </c>
      <c r="H300" s="15">
        <f t="shared" si="4"/>
        <v>36</v>
      </c>
      <c r="I300" s="15">
        <v>6</v>
      </c>
      <c r="J300" s="15" t="b">
        <v>1</v>
      </c>
      <c r="K300" s="15" t="b">
        <v>1</v>
      </c>
    </row>
    <row r="301" spans="1:11" x14ac:dyDescent="0.3">
      <c r="A301" s="15" t="s">
        <v>406</v>
      </c>
      <c r="B301" s="15">
        <v>3</v>
      </c>
      <c r="C301" s="15" t="s">
        <v>491</v>
      </c>
      <c r="D301" s="15">
        <v>1</v>
      </c>
      <c r="E301" s="15">
        <v>3</v>
      </c>
      <c r="F301" s="15">
        <v>1067</v>
      </c>
      <c r="G301" s="16">
        <v>32.67</v>
      </c>
      <c r="H301" s="15">
        <f t="shared" si="4"/>
        <v>33</v>
      </c>
      <c r="I301" s="15">
        <v>6</v>
      </c>
      <c r="J301" s="15" t="b">
        <v>1</v>
      </c>
      <c r="K301" s="15" t="b">
        <v>1</v>
      </c>
    </row>
    <row r="302" spans="1:11" x14ac:dyDescent="0.3">
      <c r="A302" s="15" t="s">
        <v>406</v>
      </c>
      <c r="B302" s="15">
        <v>3</v>
      </c>
      <c r="C302" s="15" t="s">
        <v>491</v>
      </c>
      <c r="D302" s="15">
        <v>2</v>
      </c>
      <c r="E302" s="15">
        <v>1</v>
      </c>
      <c r="F302" s="15">
        <v>511</v>
      </c>
      <c r="G302" s="16">
        <v>32.67</v>
      </c>
      <c r="H302" s="15">
        <f t="shared" si="4"/>
        <v>16</v>
      </c>
      <c r="I302" s="15">
        <v>6</v>
      </c>
      <c r="J302" s="15" t="b">
        <v>1</v>
      </c>
      <c r="K302" s="15" t="b">
        <v>1</v>
      </c>
    </row>
    <row r="303" spans="1:11" x14ac:dyDescent="0.3">
      <c r="A303" s="15" t="s">
        <v>406</v>
      </c>
      <c r="B303" s="15">
        <v>3</v>
      </c>
      <c r="C303" s="15" t="s">
        <v>491</v>
      </c>
      <c r="D303" s="15">
        <v>2</v>
      </c>
      <c r="E303" s="15">
        <v>2</v>
      </c>
      <c r="F303" s="15">
        <v>487</v>
      </c>
      <c r="G303" s="16">
        <v>32.67</v>
      </c>
      <c r="H303" s="15">
        <f t="shared" si="4"/>
        <v>15</v>
      </c>
      <c r="I303" s="15">
        <v>6</v>
      </c>
      <c r="J303" s="15" t="b">
        <v>1</v>
      </c>
      <c r="K303" s="15" t="b">
        <v>1</v>
      </c>
    </row>
    <row r="304" spans="1:11" x14ac:dyDescent="0.3">
      <c r="A304" s="15" t="s">
        <v>406</v>
      </c>
      <c r="B304" s="15">
        <v>3</v>
      </c>
      <c r="C304" s="15" t="s">
        <v>491</v>
      </c>
      <c r="D304" s="15">
        <v>2</v>
      </c>
      <c r="E304" s="15">
        <v>3</v>
      </c>
      <c r="F304" s="15">
        <v>527</v>
      </c>
      <c r="G304" s="16">
        <v>32.67</v>
      </c>
      <c r="H304" s="15">
        <f t="shared" si="4"/>
        <v>17</v>
      </c>
      <c r="I304" s="15">
        <v>6</v>
      </c>
      <c r="J304" s="15" t="b">
        <v>1</v>
      </c>
      <c r="K304" s="15" t="b">
        <v>1</v>
      </c>
    </row>
    <row r="305" spans="1:11" x14ac:dyDescent="0.3">
      <c r="A305" s="15" t="s">
        <v>406</v>
      </c>
      <c r="B305" s="15">
        <v>3</v>
      </c>
      <c r="C305" s="15" t="s">
        <v>491</v>
      </c>
      <c r="D305" s="15">
        <v>3</v>
      </c>
      <c r="E305" s="15">
        <v>1</v>
      </c>
      <c r="F305" s="15">
        <v>3316</v>
      </c>
      <c r="G305" s="16">
        <v>32.67</v>
      </c>
      <c r="H305" s="15">
        <f t="shared" si="4"/>
        <v>102</v>
      </c>
      <c r="I305" s="15">
        <v>38</v>
      </c>
      <c r="J305" s="15" t="b">
        <v>1</v>
      </c>
      <c r="K305" s="15" t="b">
        <v>1</v>
      </c>
    </row>
    <row r="306" spans="1:11" x14ac:dyDescent="0.3">
      <c r="A306" s="15" t="s">
        <v>406</v>
      </c>
      <c r="B306" s="15">
        <v>3</v>
      </c>
      <c r="C306" s="15" t="s">
        <v>491</v>
      </c>
      <c r="D306" s="15">
        <v>3</v>
      </c>
      <c r="E306" s="15">
        <v>2</v>
      </c>
      <c r="F306" s="15">
        <v>3370</v>
      </c>
      <c r="G306" s="16">
        <v>32.67</v>
      </c>
      <c r="H306" s="15">
        <f t="shared" si="4"/>
        <v>104</v>
      </c>
      <c r="I306" s="15">
        <v>38</v>
      </c>
      <c r="J306" s="15" t="b">
        <v>1</v>
      </c>
      <c r="K306" s="15" t="b">
        <v>1</v>
      </c>
    </row>
    <row r="307" spans="1:11" x14ac:dyDescent="0.3">
      <c r="A307" s="15" t="s">
        <v>406</v>
      </c>
      <c r="B307" s="15">
        <v>3</v>
      </c>
      <c r="C307" s="15" t="s">
        <v>491</v>
      </c>
      <c r="D307" s="15">
        <v>3</v>
      </c>
      <c r="E307" s="15">
        <v>3</v>
      </c>
      <c r="F307" s="15">
        <v>3140</v>
      </c>
      <c r="G307" s="16">
        <v>32.67</v>
      </c>
      <c r="H307" s="15">
        <f t="shared" si="4"/>
        <v>97</v>
      </c>
      <c r="I307" s="15">
        <v>38</v>
      </c>
      <c r="J307" s="15" t="b">
        <v>1</v>
      </c>
      <c r="K307" s="15" t="b">
        <v>1</v>
      </c>
    </row>
    <row r="308" spans="1:11" x14ac:dyDescent="0.3">
      <c r="A308" s="15" t="s">
        <v>406</v>
      </c>
      <c r="B308" s="15">
        <v>3</v>
      </c>
      <c r="C308" s="15" t="s">
        <v>491</v>
      </c>
      <c r="D308" s="15">
        <v>4</v>
      </c>
      <c r="E308" s="15">
        <v>1</v>
      </c>
      <c r="F308" s="15">
        <v>6517</v>
      </c>
      <c r="G308" s="16">
        <v>32.67</v>
      </c>
      <c r="H308" s="15">
        <f t="shared" si="4"/>
        <v>200</v>
      </c>
      <c r="I308" s="15">
        <v>65</v>
      </c>
      <c r="J308" s="15" t="b">
        <v>0</v>
      </c>
      <c r="K308" s="15" t="b">
        <v>1</v>
      </c>
    </row>
    <row r="309" spans="1:11" x14ac:dyDescent="0.3">
      <c r="A309" s="15" t="s">
        <v>406</v>
      </c>
      <c r="B309" s="15">
        <v>3</v>
      </c>
      <c r="C309" s="15" t="s">
        <v>491</v>
      </c>
      <c r="D309" s="15">
        <v>4</v>
      </c>
      <c r="E309" s="15">
        <v>2</v>
      </c>
      <c r="F309" s="15">
        <v>6454</v>
      </c>
      <c r="G309" s="16">
        <v>32.67</v>
      </c>
      <c r="H309" s="15">
        <f t="shared" si="4"/>
        <v>198</v>
      </c>
      <c r="I309" s="15">
        <v>65</v>
      </c>
      <c r="J309" s="15" t="b">
        <v>0</v>
      </c>
      <c r="K309" s="15" t="b">
        <v>1</v>
      </c>
    </row>
    <row r="310" spans="1:11" x14ac:dyDescent="0.3">
      <c r="A310" s="15" t="s">
        <v>406</v>
      </c>
      <c r="B310" s="15">
        <v>3</v>
      </c>
      <c r="C310" s="15" t="s">
        <v>491</v>
      </c>
      <c r="D310" s="15">
        <v>4</v>
      </c>
      <c r="E310" s="15">
        <v>3</v>
      </c>
      <c r="F310" s="15">
        <v>6371</v>
      </c>
      <c r="G310" s="16">
        <v>32.67</v>
      </c>
      <c r="H310" s="15">
        <f t="shared" si="4"/>
        <v>196</v>
      </c>
      <c r="I310" s="15">
        <v>65</v>
      </c>
      <c r="J310" s="15" t="b">
        <v>0</v>
      </c>
      <c r="K310" s="15" t="b">
        <v>1</v>
      </c>
    </row>
    <row r="311" spans="1:11" x14ac:dyDescent="0.3">
      <c r="A311" s="15" t="s">
        <v>406</v>
      </c>
      <c r="B311" s="15">
        <v>3</v>
      </c>
      <c r="C311" s="15" t="s">
        <v>491</v>
      </c>
      <c r="D311" s="15">
        <v>5</v>
      </c>
      <c r="E311" s="15">
        <v>1</v>
      </c>
      <c r="F311" s="15">
        <v>4079</v>
      </c>
      <c r="G311" s="16">
        <v>32.67</v>
      </c>
      <c r="H311" s="15">
        <f t="shared" si="4"/>
        <v>125</v>
      </c>
      <c r="I311" s="15">
        <v>26</v>
      </c>
      <c r="J311" s="15" t="b">
        <v>0</v>
      </c>
      <c r="K311" s="15" t="b">
        <v>1</v>
      </c>
    </row>
    <row r="312" spans="1:11" x14ac:dyDescent="0.3">
      <c r="A312" s="15" t="s">
        <v>406</v>
      </c>
      <c r="B312" s="15">
        <v>3</v>
      </c>
      <c r="C312" s="15" t="s">
        <v>491</v>
      </c>
      <c r="D312" s="15">
        <v>5</v>
      </c>
      <c r="E312" s="15">
        <v>2</v>
      </c>
      <c r="F312" s="15">
        <v>3880</v>
      </c>
      <c r="G312" s="16">
        <v>32.67</v>
      </c>
      <c r="H312" s="15">
        <f t="shared" si="4"/>
        <v>119</v>
      </c>
      <c r="I312" s="15">
        <v>26</v>
      </c>
      <c r="J312" s="15" t="b">
        <v>0</v>
      </c>
      <c r="K312" s="15" t="b">
        <v>1</v>
      </c>
    </row>
    <row r="313" spans="1:11" x14ac:dyDescent="0.3">
      <c r="A313" s="15" t="s">
        <v>406</v>
      </c>
      <c r="B313" s="15">
        <v>3</v>
      </c>
      <c r="C313" s="15" t="s">
        <v>491</v>
      </c>
      <c r="D313" s="15">
        <v>5</v>
      </c>
      <c r="E313" s="15">
        <v>3</v>
      </c>
      <c r="F313" s="15">
        <v>3876</v>
      </c>
      <c r="G313" s="16">
        <v>32.67</v>
      </c>
      <c r="H313" s="15">
        <f t="shared" si="4"/>
        <v>119</v>
      </c>
      <c r="I313" s="15">
        <v>26</v>
      </c>
      <c r="J313" s="15" t="b">
        <v>0</v>
      </c>
      <c r="K313" s="15" t="b">
        <v>1</v>
      </c>
    </row>
    <row r="314" spans="1:11" x14ac:dyDescent="0.3">
      <c r="A314" s="15" t="s">
        <v>406</v>
      </c>
      <c r="B314" s="15">
        <v>3</v>
      </c>
      <c r="C314" s="15" t="s">
        <v>492</v>
      </c>
      <c r="D314" s="15">
        <v>1</v>
      </c>
      <c r="E314" s="15">
        <v>1</v>
      </c>
      <c r="F314" s="15">
        <v>209</v>
      </c>
      <c r="G314" s="16">
        <v>31.31</v>
      </c>
      <c r="H314" s="15">
        <f t="shared" si="4"/>
        <v>7</v>
      </c>
      <c r="I314" s="15">
        <v>1</v>
      </c>
      <c r="J314" s="15" t="b">
        <v>1</v>
      </c>
      <c r="K314" s="15" t="b">
        <v>1</v>
      </c>
    </row>
    <row r="315" spans="1:11" x14ac:dyDescent="0.3">
      <c r="A315" s="15" t="s">
        <v>406</v>
      </c>
      <c r="B315" s="15">
        <v>3</v>
      </c>
      <c r="C315" s="15" t="s">
        <v>492</v>
      </c>
      <c r="D315" s="15">
        <v>1</v>
      </c>
      <c r="E315" s="15">
        <v>2</v>
      </c>
      <c r="F315" s="15">
        <v>175</v>
      </c>
      <c r="G315" s="16">
        <v>31.31</v>
      </c>
      <c r="H315" s="15">
        <f t="shared" si="4"/>
        <v>6</v>
      </c>
      <c r="I315" s="15">
        <v>1</v>
      </c>
      <c r="J315" s="15" t="b">
        <v>1</v>
      </c>
      <c r="K315" s="15" t="b">
        <v>1</v>
      </c>
    </row>
    <row r="316" spans="1:11" x14ac:dyDescent="0.3">
      <c r="A316" s="15" t="s">
        <v>406</v>
      </c>
      <c r="B316" s="15">
        <v>3</v>
      </c>
      <c r="C316" s="15" t="s">
        <v>492</v>
      </c>
      <c r="D316" s="15">
        <v>1</v>
      </c>
      <c r="E316" s="15">
        <v>3</v>
      </c>
      <c r="F316" s="15">
        <v>144</v>
      </c>
      <c r="G316" s="16">
        <v>31.31</v>
      </c>
      <c r="H316" s="15">
        <f t="shared" si="4"/>
        <v>5</v>
      </c>
      <c r="I316" s="15">
        <v>1</v>
      </c>
      <c r="J316" s="15" t="b">
        <v>1</v>
      </c>
      <c r="K316" s="15" t="b">
        <v>1</v>
      </c>
    </row>
    <row r="317" spans="1:11" x14ac:dyDescent="0.3">
      <c r="A317" s="15" t="s">
        <v>406</v>
      </c>
      <c r="B317" s="15">
        <v>3</v>
      </c>
      <c r="C317" s="15" t="s">
        <v>492</v>
      </c>
      <c r="D317" s="15">
        <v>2</v>
      </c>
      <c r="E317" s="15">
        <v>1</v>
      </c>
      <c r="F317" s="15">
        <v>6006</v>
      </c>
      <c r="G317" s="16">
        <v>31.31</v>
      </c>
      <c r="H317" s="15">
        <f t="shared" si="4"/>
        <v>192</v>
      </c>
      <c r="I317" s="15">
        <v>23</v>
      </c>
      <c r="J317" s="15" t="b">
        <v>1</v>
      </c>
      <c r="K317" s="15" t="b">
        <v>1</v>
      </c>
    </row>
    <row r="318" spans="1:11" x14ac:dyDescent="0.3">
      <c r="A318" s="15" t="s">
        <v>406</v>
      </c>
      <c r="B318" s="15">
        <v>3</v>
      </c>
      <c r="C318" s="15" t="s">
        <v>492</v>
      </c>
      <c r="D318" s="15">
        <v>2</v>
      </c>
      <c r="E318" s="15">
        <v>2</v>
      </c>
      <c r="F318" s="15">
        <v>5607</v>
      </c>
      <c r="G318" s="16">
        <v>31.31</v>
      </c>
      <c r="H318" s="15">
        <f t="shared" si="4"/>
        <v>180</v>
      </c>
      <c r="I318" s="15">
        <v>23</v>
      </c>
      <c r="J318" s="15" t="b">
        <v>1</v>
      </c>
      <c r="K318" s="15" t="b">
        <v>1</v>
      </c>
    </row>
    <row r="319" spans="1:11" x14ac:dyDescent="0.3">
      <c r="A319" s="15" t="s">
        <v>406</v>
      </c>
      <c r="B319" s="15">
        <v>3</v>
      </c>
      <c r="C319" s="15" t="s">
        <v>492</v>
      </c>
      <c r="D319" s="15">
        <v>2</v>
      </c>
      <c r="E319" s="15">
        <v>3</v>
      </c>
      <c r="F319" s="15">
        <v>5559</v>
      </c>
      <c r="G319" s="16">
        <v>31.31</v>
      </c>
      <c r="H319" s="15">
        <f t="shared" si="4"/>
        <v>178</v>
      </c>
      <c r="I319" s="15">
        <v>23</v>
      </c>
      <c r="J319" s="15" t="b">
        <v>1</v>
      </c>
      <c r="K319" s="15" t="b">
        <v>1</v>
      </c>
    </row>
    <row r="320" spans="1:11" x14ac:dyDescent="0.3">
      <c r="A320" s="15" t="s">
        <v>406</v>
      </c>
      <c r="B320" s="15">
        <v>3</v>
      </c>
      <c r="C320" s="15" t="s">
        <v>492</v>
      </c>
      <c r="D320" s="15">
        <v>3</v>
      </c>
      <c r="E320" s="15">
        <v>1</v>
      </c>
      <c r="F320" s="15">
        <v>955</v>
      </c>
      <c r="G320" s="16">
        <v>31.31</v>
      </c>
      <c r="H320" s="15">
        <f t="shared" si="4"/>
        <v>31</v>
      </c>
      <c r="I320" s="15">
        <v>2</v>
      </c>
      <c r="J320" s="15" t="b">
        <v>1</v>
      </c>
      <c r="K320" s="15" t="b">
        <v>1</v>
      </c>
    </row>
    <row r="321" spans="1:11" x14ac:dyDescent="0.3">
      <c r="A321" s="15" t="s">
        <v>406</v>
      </c>
      <c r="B321" s="15">
        <v>3</v>
      </c>
      <c r="C321" s="15" t="s">
        <v>492</v>
      </c>
      <c r="D321" s="15">
        <v>3</v>
      </c>
      <c r="E321" s="15">
        <v>2</v>
      </c>
      <c r="F321" s="15">
        <v>610</v>
      </c>
      <c r="G321" s="16">
        <v>31.31</v>
      </c>
      <c r="H321" s="15">
        <f t="shared" si="4"/>
        <v>20</v>
      </c>
      <c r="I321" s="15">
        <v>2</v>
      </c>
      <c r="J321" s="15" t="b">
        <v>1</v>
      </c>
      <c r="K321" s="15" t="b">
        <v>1</v>
      </c>
    </row>
    <row r="322" spans="1:11" x14ac:dyDescent="0.3">
      <c r="A322" s="15" t="s">
        <v>406</v>
      </c>
      <c r="B322" s="15">
        <v>3</v>
      </c>
      <c r="C322" s="15" t="s">
        <v>492</v>
      </c>
      <c r="D322" s="15">
        <v>3</v>
      </c>
      <c r="E322" s="15">
        <v>3</v>
      </c>
      <c r="F322" s="15">
        <v>877</v>
      </c>
      <c r="G322" s="16">
        <v>31.31</v>
      </c>
      <c r="H322" s="15">
        <f t="shared" si="4"/>
        <v>29</v>
      </c>
      <c r="I322" s="15">
        <v>2</v>
      </c>
      <c r="J322" s="15" t="b">
        <v>1</v>
      </c>
      <c r="K322" s="15" t="b">
        <v>1</v>
      </c>
    </row>
    <row r="323" spans="1:11" x14ac:dyDescent="0.3">
      <c r="A323" s="15" t="s">
        <v>406</v>
      </c>
      <c r="B323" s="15">
        <v>3</v>
      </c>
      <c r="C323" s="15" t="s">
        <v>492</v>
      </c>
      <c r="D323" s="15">
        <v>4</v>
      </c>
      <c r="E323" s="15">
        <v>1</v>
      </c>
      <c r="F323" s="15">
        <v>1338</v>
      </c>
      <c r="G323" s="16">
        <v>31.31</v>
      </c>
      <c r="H323" s="15">
        <f t="shared" ref="H323:H386" si="5">ROUNDUP(F323/G323,0)</f>
        <v>43</v>
      </c>
      <c r="I323" s="15">
        <v>10</v>
      </c>
      <c r="J323" s="15" t="b">
        <v>0</v>
      </c>
      <c r="K323" s="15" t="b">
        <v>1</v>
      </c>
    </row>
    <row r="324" spans="1:11" x14ac:dyDescent="0.3">
      <c r="A324" s="15" t="s">
        <v>406</v>
      </c>
      <c r="B324" s="15">
        <v>3</v>
      </c>
      <c r="C324" s="15" t="s">
        <v>492</v>
      </c>
      <c r="D324" s="15">
        <v>4</v>
      </c>
      <c r="E324" s="15">
        <v>2</v>
      </c>
      <c r="F324" s="15">
        <v>1388</v>
      </c>
      <c r="G324" s="16">
        <v>31.31</v>
      </c>
      <c r="H324" s="15">
        <f t="shared" si="5"/>
        <v>45</v>
      </c>
      <c r="I324" s="15">
        <v>10</v>
      </c>
      <c r="J324" s="15" t="b">
        <v>0</v>
      </c>
      <c r="K324" s="15" t="b">
        <v>1</v>
      </c>
    </row>
    <row r="325" spans="1:11" x14ac:dyDescent="0.3">
      <c r="A325" s="15" t="s">
        <v>406</v>
      </c>
      <c r="B325" s="15">
        <v>3</v>
      </c>
      <c r="C325" s="15" t="s">
        <v>492</v>
      </c>
      <c r="D325" s="15">
        <v>4</v>
      </c>
      <c r="E325" s="15">
        <v>3</v>
      </c>
      <c r="F325" s="15">
        <v>1305</v>
      </c>
      <c r="G325" s="16">
        <v>31.31</v>
      </c>
      <c r="H325" s="15">
        <f t="shared" si="5"/>
        <v>42</v>
      </c>
      <c r="I325" s="15">
        <v>10</v>
      </c>
      <c r="J325" s="15" t="b">
        <v>0</v>
      </c>
      <c r="K325" s="15" t="b">
        <v>1</v>
      </c>
    </row>
    <row r="326" spans="1:11" x14ac:dyDescent="0.3">
      <c r="A326" s="15" t="s">
        <v>406</v>
      </c>
      <c r="B326" s="15">
        <v>3</v>
      </c>
      <c r="C326" s="15" t="s">
        <v>492</v>
      </c>
      <c r="D326" s="15">
        <v>5</v>
      </c>
      <c r="E326" s="15">
        <v>1</v>
      </c>
      <c r="F326" s="15">
        <v>5903</v>
      </c>
      <c r="G326" s="16">
        <v>31.31</v>
      </c>
      <c r="H326" s="15">
        <f t="shared" si="5"/>
        <v>189</v>
      </c>
      <c r="I326" s="15">
        <v>47</v>
      </c>
      <c r="J326" s="15" t="b">
        <v>0</v>
      </c>
      <c r="K326" s="15" t="b">
        <v>1</v>
      </c>
    </row>
    <row r="327" spans="1:11" x14ac:dyDescent="0.3">
      <c r="A327" s="15" t="s">
        <v>406</v>
      </c>
      <c r="B327" s="15">
        <v>3</v>
      </c>
      <c r="C327" s="15" t="s">
        <v>492</v>
      </c>
      <c r="D327" s="15">
        <v>5</v>
      </c>
      <c r="E327" s="15">
        <v>2</v>
      </c>
      <c r="F327" s="15">
        <v>5639</v>
      </c>
      <c r="G327" s="16">
        <v>31.31</v>
      </c>
      <c r="H327" s="15">
        <f t="shared" si="5"/>
        <v>181</v>
      </c>
      <c r="I327" s="15">
        <v>47</v>
      </c>
      <c r="J327" s="15" t="b">
        <v>0</v>
      </c>
      <c r="K327" s="15" t="b">
        <v>1</v>
      </c>
    </row>
    <row r="328" spans="1:11" x14ac:dyDescent="0.3">
      <c r="A328" s="15" t="s">
        <v>406</v>
      </c>
      <c r="B328" s="15">
        <v>3</v>
      </c>
      <c r="C328" s="15" t="s">
        <v>492</v>
      </c>
      <c r="D328" s="15">
        <v>5</v>
      </c>
      <c r="E328" s="15">
        <v>3</v>
      </c>
      <c r="F328" s="15">
        <v>5543</v>
      </c>
      <c r="G328" s="16">
        <v>31.31</v>
      </c>
      <c r="H328" s="15">
        <f t="shared" si="5"/>
        <v>178</v>
      </c>
      <c r="I328" s="15">
        <v>47</v>
      </c>
      <c r="J328" s="15" t="b">
        <v>0</v>
      </c>
      <c r="K328" s="15" t="b">
        <v>1</v>
      </c>
    </row>
    <row r="329" spans="1:11" x14ac:dyDescent="0.3">
      <c r="A329" s="15" t="s">
        <v>406</v>
      </c>
      <c r="B329" s="15">
        <v>3</v>
      </c>
      <c r="C329" s="15" t="s">
        <v>493</v>
      </c>
      <c r="D329" s="15">
        <v>1</v>
      </c>
      <c r="E329" s="15">
        <v>1</v>
      </c>
      <c r="F329" s="15">
        <v>3365</v>
      </c>
      <c r="G329" s="16">
        <v>31.61</v>
      </c>
      <c r="H329" s="15">
        <f t="shared" si="5"/>
        <v>107</v>
      </c>
      <c r="I329" s="15">
        <v>15</v>
      </c>
      <c r="J329" s="15" t="b">
        <v>1</v>
      </c>
      <c r="K329" s="15" t="b">
        <v>1</v>
      </c>
    </row>
    <row r="330" spans="1:11" x14ac:dyDescent="0.3">
      <c r="A330" s="15" t="s">
        <v>406</v>
      </c>
      <c r="B330" s="15">
        <v>3</v>
      </c>
      <c r="C330" s="15" t="s">
        <v>493</v>
      </c>
      <c r="D330" s="15">
        <v>1</v>
      </c>
      <c r="E330" s="15">
        <v>2</v>
      </c>
      <c r="F330" s="15">
        <v>3282</v>
      </c>
      <c r="G330" s="16">
        <v>31.61</v>
      </c>
      <c r="H330" s="15">
        <f t="shared" si="5"/>
        <v>104</v>
      </c>
      <c r="I330" s="15">
        <v>15</v>
      </c>
      <c r="J330" s="15" t="b">
        <v>1</v>
      </c>
      <c r="K330" s="15" t="b">
        <v>1</v>
      </c>
    </row>
    <row r="331" spans="1:11" x14ac:dyDescent="0.3">
      <c r="A331" s="15" t="s">
        <v>406</v>
      </c>
      <c r="B331" s="15">
        <v>3</v>
      </c>
      <c r="C331" s="15" t="s">
        <v>493</v>
      </c>
      <c r="D331" s="15">
        <v>1</v>
      </c>
      <c r="E331" s="15">
        <v>3</v>
      </c>
      <c r="F331" s="15">
        <v>3324</v>
      </c>
      <c r="G331" s="16">
        <v>31.61</v>
      </c>
      <c r="H331" s="15">
        <f t="shared" si="5"/>
        <v>106</v>
      </c>
      <c r="I331" s="15">
        <v>15</v>
      </c>
      <c r="J331" s="15" t="b">
        <v>1</v>
      </c>
      <c r="K331" s="15" t="b">
        <v>1</v>
      </c>
    </row>
    <row r="332" spans="1:11" x14ac:dyDescent="0.3">
      <c r="A332" s="15" t="s">
        <v>406</v>
      </c>
      <c r="B332" s="15">
        <v>3</v>
      </c>
      <c r="C332" s="15" t="s">
        <v>493</v>
      </c>
      <c r="D332" s="15">
        <v>2</v>
      </c>
      <c r="E332" s="15">
        <v>1</v>
      </c>
      <c r="F332" s="15">
        <v>86</v>
      </c>
      <c r="G332" s="16">
        <v>31.61</v>
      </c>
      <c r="H332" s="15">
        <f t="shared" si="5"/>
        <v>3</v>
      </c>
      <c r="I332" s="15">
        <v>1</v>
      </c>
      <c r="J332" s="15" t="b">
        <v>1</v>
      </c>
      <c r="K332" s="15" t="b">
        <v>1</v>
      </c>
    </row>
    <row r="333" spans="1:11" x14ac:dyDescent="0.3">
      <c r="A333" s="15" t="s">
        <v>406</v>
      </c>
      <c r="B333" s="15">
        <v>3</v>
      </c>
      <c r="C333" s="15" t="s">
        <v>493</v>
      </c>
      <c r="D333" s="15">
        <v>2</v>
      </c>
      <c r="E333" s="15">
        <v>2</v>
      </c>
      <c r="F333" s="15">
        <v>94</v>
      </c>
      <c r="G333" s="16">
        <v>31.61</v>
      </c>
      <c r="H333" s="15">
        <f t="shared" si="5"/>
        <v>3</v>
      </c>
      <c r="I333" s="15">
        <v>1</v>
      </c>
      <c r="J333" s="15" t="b">
        <v>1</v>
      </c>
      <c r="K333" s="15" t="b">
        <v>1</v>
      </c>
    </row>
    <row r="334" spans="1:11" x14ac:dyDescent="0.3">
      <c r="A334" s="15" t="s">
        <v>406</v>
      </c>
      <c r="B334" s="15">
        <v>3</v>
      </c>
      <c r="C334" s="15" t="s">
        <v>493</v>
      </c>
      <c r="D334" s="15">
        <v>2</v>
      </c>
      <c r="E334" s="15">
        <v>3</v>
      </c>
      <c r="F334" s="15">
        <v>115</v>
      </c>
      <c r="G334" s="16">
        <v>31.61</v>
      </c>
      <c r="H334" s="15">
        <f t="shared" si="5"/>
        <v>4</v>
      </c>
      <c r="I334" s="15">
        <v>1</v>
      </c>
      <c r="J334" s="15" t="b">
        <v>1</v>
      </c>
      <c r="K334" s="15" t="b">
        <v>1</v>
      </c>
    </row>
    <row r="335" spans="1:11" x14ac:dyDescent="0.3">
      <c r="A335" s="15" t="s">
        <v>406</v>
      </c>
      <c r="B335" s="15">
        <v>3</v>
      </c>
      <c r="C335" s="15" t="s">
        <v>493</v>
      </c>
      <c r="D335" s="15">
        <v>3</v>
      </c>
      <c r="E335" s="15">
        <v>1</v>
      </c>
      <c r="F335" s="15">
        <v>2742</v>
      </c>
      <c r="G335" s="16">
        <v>31.61</v>
      </c>
      <c r="H335" s="15">
        <f t="shared" si="5"/>
        <v>87</v>
      </c>
      <c r="I335" s="15">
        <v>26</v>
      </c>
      <c r="J335" s="15" t="b">
        <v>1</v>
      </c>
      <c r="K335" s="15" t="b">
        <v>1</v>
      </c>
    </row>
    <row r="336" spans="1:11" x14ac:dyDescent="0.3">
      <c r="A336" s="15" t="s">
        <v>406</v>
      </c>
      <c r="B336" s="15">
        <v>3</v>
      </c>
      <c r="C336" s="15" t="s">
        <v>493</v>
      </c>
      <c r="D336" s="15">
        <v>3</v>
      </c>
      <c r="E336" s="15">
        <v>2</v>
      </c>
      <c r="F336" s="15">
        <v>2576</v>
      </c>
      <c r="G336" s="16">
        <v>31.61</v>
      </c>
      <c r="H336" s="15">
        <f t="shared" si="5"/>
        <v>82</v>
      </c>
      <c r="I336" s="15">
        <v>26</v>
      </c>
      <c r="J336" s="15" t="b">
        <v>1</v>
      </c>
      <c r="K336" s="15" t="b">
        <v>1</v>
      </c>
    </row>
    <row r="337" spans="1:11" x14ac:dyDescent="0.3">
      <c r="A337" s="15" t="s">
        <v>406</v>
      </c>
      <c r="B337" s="15">
        <v>3</v>
      </c>
      <c r="C337" s="15" t="s">
        <v>493</v>
      </c>
      <c r="D337" s="15">
        <v>3</v>
      </c>
      <c r="E337" s="15">
        <v>3</v>
      </c>
      <c r="F337" s="15">
        <v>2596</v>
      </c>
      <c r="G337" s="16">
        <v>31.61</v>
      </c>
      <c r="H337" s="15">
        <f t="shared" si="5"/>
        <v>83</v>
      </c>
      <c r="I337" s="15">
        <v>26</v>
      </c>
      <c r="J337" s="15" t="b">
        <v>1</v>
      </c>
      <c r="K337" s="15" t="b">
        <v>1</v>
      </c>
    </row>
    <row r="338" spans="1:11" x14ac:dyDescent="0.3">
      <c r="A338" s="15" t="s">
        <v>406</v>
      </c>
      <c r="B338" s="15">
        <v>3</v>
      </c>
      <c r="C338" s="15" t="s">
        <v>493</v>
      </c>
      <c r="D338" s="15">
        <v>4</v>
      </c>
      <c r="E338" s="15">
        <v>1</v>
      </c>
      <c r="F338" s="15">
        <v>2475</v>
      </c>
      <c r="G338" s="16">
        <v>31.61</v>
      </c>
      <c r="H338" s="15">
        <f t="shared" si="5"/>
        <v>79</v>
      </c>
      <c r="I338" s="15">
        <v>22</v>
      </c>
      <c r="J338" s="15" t="b">
        <v>0</v>
      </c>
      <c r="K338" s="15" t="b">
        <v>1</v>
      </c>
    </row>
    <row r="339" spans="1:11" x14ac:dyDescent="0.3">
      <c r="A339" s="15" t="s">
        <v>406</v>
      </c>
      <c r="B339" s="15">
        <v>3</v>
      </c>
      <c r="C339" s="15" t="s">
        <v>493</v>
      </c>
      <c r="D339" s="15">
        <v>4</v>
      </c>
      <c r="E339" s="15">
        <v>2</v>
      </c>
      <c r="F339" s="15">
        <v>2535</v>
      </c>
      <c r="G339" s="16">
        <v>31.61</v>
      </c>
      <c r="H339" s="15">
        <f t="shared" si="5"/>
        <v>81</v>
      </c>
      <c r="I339" s="15">
        <v>22</v>
      </c>
      <c r="J339" s="15" t="b">
        <v>0</v>
      </c>
      <c r="K339" s="15" t="b">
        <v>1</v>
      </c>
    </row>
    <row r="340" spans="1:11" x14ac:dyDescent="0.3">
      <c r="A340" s="15" t="s">
        <v>406</v>
      </c>
      <c r="B340" s="15">
        <v>3</v>
      </c>
      <c r="C340" s="15" t="s">
        <v>493</v>
      </c>
      <c r="D340" s="15">
        <v>4</v>
      </c>
      <c r="E340" s="15">
        <v>3</v>
      </c>
      <c r="F340" s="15">
        <v>2542</v>
      </c>
      <c r="G340" s="16">
        <v>31.61</v>
      </c>
      <c r="H340" s="15">
        <f t="shared" si="5"/>
        <v>81</v>
      </c>
      <c r="I340" s="15">
        <v>22</v>
      </c>
      <c r="J340" s="15" t="b">
        <v>0</v>
      </c>
      <c r="K340" s="15" t="b">
        <v>1</v>
      </c>
    </row>
    <row r="341" spans="1:11" x14ac:dyDescent="0.3">
      <c r="A341" s="15" t="s">
        <v>406</v>
      </c>
      <c r="B341" s="15">
        <v>3</v>
      </c>
      <c r="C341" s="15" t="s">
        <v>493</v>
      </c>
      <c r="D341" s="15">
        <v>5</v>
      </c>
      <c r="E341" s="15">
        <v>1</v>
      </c>
      <c r="F341" s="15">
        <v>3955</v>
      </c>
      <c r="G341" s="16">
        <v>31.61</v>
      </c>
      <c r="H341" s="15">
        <f t="shared" si="5"/>
        <v>126</v>
      </c>
      <c r="I341" s="15">
        <v>32</v>
      </c>
      <c r="J341" s="15" t="b">
        <v>0</v>
      </c>
      <c r="K341" s="15" t="b">
        <v>1</v>
      </c>
    </row>
    <row r="342" spans="1:11" x14ac:dyDescent="0.3">
      <c r="A342" s="15" t="s">
        <v>406</v>
      </c>
      <c r="B342" s="15">
        <v>3</v>
      </c>
      <c r="C342" s="15" t="s">
        <v>493</v>
      </c>
      <c r="D342" s="15">
        <v>5</v>
      </c>
      <c r="E342" s="15">
        <v>2</v>
      </c>
      <c r="F342" s="15">
        <v>3749</v>
      </c>
      <c r="G342" s="16">
        <v>31.61</v>
      </c>
      <c r="H342" s="15">
        <f t="shared" si="5"/>
        <v>119</v>
      </c>
      <c r="I342" s="15">
        <v>32</v>
      </c>
      <c r="J342" s="15" t="b">
        <v>0</v>
      </c>
      <c r="K342" s="15" t="b">
        <v>1</v>
      </c>
    </row>
    <row r="343" spans="1:11" x14ac:dyDescent="0.3">
      <c r="A343" s="15" t="s">
        <v>406</v>
      </c>
      <c r="B343" s="15">
        <v>3</v>
      </c>
      <c r="C343" s="15" t="s">
        <v>493</v>
      </c>
      <c r="D343" s="15">
        <v>5</v>
      </c>
      <c r="E343" s="15">
        <v>3</v>
      </c>
      <c r="F343" s="15">
        <v>3838</v>
      </c>
      <c r="G343" s="16">
        <v>31.61</v>
      </c>
      <c r="H343" s="15">
        <f t="shared" si="5"/>
        <v>122</v>
      </c>
      <c r="I343" s="15">
        <v>32</v>
      </c>
      <c r="J343" s="15" t="b">
        <v>0</v>
      </c>
      <c r="K343" s="15" t="b">
        <v>1</v>
      </c>
    </row>
    <row r="344" spans="1:11" x14ac:dyDescent="0.3">
      <c r="A344" s="15" t="s">
        <v>406</v>
      </c>
      <c r="B344" s="15">
        <v>3</v>
      </c>
      <c r="C344" s="15" t="s">
        <v>494</v>
      </c>
      <c r="D344" s="15">
        <v>1</v>
      </c>
      <c r="E344" s="15">
        <v>1</v>
      </c>
      <c r="F344" s="15">
        <v>2076</v>
      </c>
      <c r="G344" s="16">
        <v>34.72</v>
      </c>
      <c r="H344" s="15">
        <f t="shared" si="5"/>
        <v>60</v>
      </c>
      <c r="I344" s="15">
        <v>11</v>
      </c>
      <c r="J344" s="15" t="b">
        <v>1</v>
      </c>
      <c r="K344" s="15" t="b">
        <v>1</v>
      </c>
    </row>
    <row r="345" spans="1:11" x14ac:dyDescent="0.3">
      <c r="A345" s="15" t="s">
        <v>406</v>
      </c>
      <c r="B345" s="15">
        <v>3</v>
      </c>
      <c r="C345" s="15" t="s">
        <v>494</v>
      </c>
      <c r="D345" s="15">
        <v>1</v>
      </c>
      <c r="E345" s="15">
        <v>2</v>
      </c>
      <c r="F345" s="15">
        <v>1943</v>
      </c>
      <c r="G345" s="16">
        <v>34.72</v>
      </c>
      <c r="H345" s="15">
        <f t="shared" si="5"/>
        <v>56</v>
      </c>
      <c r="I345" s="15">
        <v>11</v>
      </c>
      <c r="J345" s="15" t="b">
        <v>1</v>
      </c>
      <c r="K345" s="15" t="b">
        <v>1</v>
      </c>
    </row>
    <row r="346" spans="1:11" x14ac:dyDescent="0.3">
      <c r="A346" s="15" t="s">
        <v>406</v>
      </c>
      <c r="B346" s="15">
        <v>3</v>
      </c>
      <c r="C346" s="15" t="s">
        <v>494</v>
      </c>
      <c r="D346" s="15">
        <v>1</v>
      </c>
      <c r="E346" s="15">
        <v>3</v>
      </c>
      <c r="F346" s="15">
        <v>1940</v>
      </c>
      <c r="G346" s="16">
        <v>34.72</v>
      </c>
      <c r="H346" s="15">
        <f t="shared" si="5"/>
        <v>56</v>
      </c>
      <c r="I346" s="15">
        <v>11</v>
      </c>
      <c r="J346" s="15" t="b">
        <v>1</v>
      </c>
      <c r="K346" s="15" t="b">
        <v>1</v>
      </c>
    </row>
    <row r="347" spans="1:11" x14ac:dyDescent="0.3">
      <c r="A347" s="15" t="s">
        <v>406</v>
      </c>
      <c r="B347" s="15">
        <v>3</v>
      </c>
      <c r="C347" s="15" t="s">
        <v>494</v>
      </c>
      <c r="D347" s="15">
        <v>2</v>
      </c>
      <c r="E347" s="15">
        <v>1</v>
      </c>
      <c r="F347" s="15">
        <v>3888</v>
      </c>
      <c r="G347" s="16">
        <v>34.72</v>
      </c>
      <c r="H347" s="15">
        <f t="shared" si="5"/>
        <v>112</v>
      </c>
      <c r="I347" s="15">
        <v>25</v>
      </c>
      <c r="J347" s="15" t="b">
        <v>1</v>
      </c>
      <c r="K347" s="15" t="b">
        <v>1</v>
      </c>
    </row>
    <row r="348" spans="1:11" x14ac:dyDescent="0.3">
      <c r="A348" s="15" t="s">
        <v>406</v>
      </c>
      <c r="B348" s="15">
        <v>3</v>
      </c>
      <c r="C348" s="15" t="s">
        <v>494</v>
      </c>
      <c r="D348" s="15">
        <v>2</v>
      </c>
      <c r="E348" s="15">
        <v>2</v>
      </c>
      <c r="F348" s="15">
        <v>4029</v>
      </c>
      <c r="G348" s="16">
        <v>34.72</v>
      </c>
      <c r="H348" s="15">
        <f t="shared" si="5"/>
        <v>117</v>
      </c>
      <c r="I348" s="15">
        <v>25</v>
      </c>
      <c r="J348" s="15" t="b">
        <v>1</v>
      </c>
      <c r="K348" s="15" t="b">
        <v>1</v>
      </c>
    </row>
    <row r="349" spans="1:11" x14ac:dyDescent="0.3">
      <c r="A349" s="15" t="s">
        <v>406</v>
      </c>
      <c r="B349" s="15">
        <v>3</v>
      </c>
      <c r="C349" s="15" t="s">
        <v>494</v>
      </c>
      <c r="D349" s="15">
        <v>2</v>
      </c>
      <c r="E349" s="15">
        <v>3</v>
      </c>
      <c r="F349" s="15">
        <v>3834</v>
      </c>
      <c r="G349" s="16">
        <v>34.72</v>
      </c>
      <c r="H349" s="15">
        <f t="shared" si="5"/>
        <v>111</v>
      </c>
      <c r="I349" s="15">
        <v>25</v>
      </c>
      <c r="J349" s="15" t="b">
        <v>1</v>
      </c>
      <c r="K349" s="15" t="b">
        <v>1</v>
      </c>
    </row>
    <row r="350" spans="1:11" x14ac:dyDescent="0.3">
      <c r="A350" s="15" t="s">
        <v>406</v>
      </c>
      <c r="B350" s="15">
        <v>3</v>
      </c>
      <c r="C350" s="15" t="s">
        <v>494</v>
      </c>
      <c r="D350" s="15">
        <v>3</v>
      </c>
      <c r="E350" s="15">
        <v>1</v>
      </c>
      <c r="F350" s="15">
        <v>143</v>
      </c>
      <c r="G350" s="16">
        <v>34.72</v>
      </c>
      <c r="H350" s="15">
        <f t="shared" si="5"/>
        <v>5</v>
      </c>
      <c r="I350" s="15">
        <v>1</v>
      </c>
      <c r="J350" s="15" t="b">
        <v>1</v>
      </c>
      <c r="K350" s="15" t="b">
        <v>1</v>
      </c>
    </row>
    <row r="351" spans="1:11" x14ac:dyDescent="0.3">
      <c r="A351" s="15" t="s">
        <v>406</v>
      </c>
      <c r="B351" s="15">
        <v>3</v>
      </c>
      <c r="C351" s="15" t="s">
        <v>494</v>
      </c>
      <c r="D351" s="15">
        <v>3</v>
      </c>
      <c r="E351" s="15">
        <v>2</v>
      </c>
      <c r="F351" s="15">
        <v>172</v>
      </c>
      <c r="G351" s="16">
        <v>34.72</v>
      </c>
      <c r="H351" s="15">
        <f t="shared" si="5"/>
        <v>5</v>
      </c>
      <c r="I351" s="15">
        <v>1</v>
      </c>
      <c r="J351" s="15" t="b">
        <v>1</v>
      </c>
      <c r="K351" s="15" t="b">
        <v>1</v>
      </c>
    </row>
    <row r="352" spans="1:11" x14ac:dyDescent="0.3">
      <c r="A352" s="15" t="s">
        <v>406</v>
      </c>
      <c r="B352" s="15">
        <v>3</v>
      </c>
      <c r="C352" s="15" t="s">
        <v>494</v>
      </c>
      <c r="D352" s="15">
        <v>3</v>
      </c>
      <c r="E352" s="15">
        <v>3</v>
      </c>
      <c r="F352" s="15">
        <v>161</v>
      </c>
      <c r="G352" s="16">
        <v>34.72</v>
      </c>
      <c r="H352" s="15">
        <f t="shared" si="5"/>
        <v>5</v>
      </c>
      <c r="I352" s="15">
        <v>1</v>
      </c>
      <c r="J352" s="15" t="b">
        <v>1</v>
      </c>
      <c r="K352" s="15" t="b">
        <v>1</v>
      </c>
    </row>
    <row r="353" spans="1:11" x14ac:dyDescent="0.3">
      <c r="A353" s="15" t="s">
        <v>406</v>
      </c>
      <c r="B353" s="15">
        <v>3</v>
      </c>
      <c r="C353" s="15" t="s">
        <v>494</v>
      </c>
      <c r="D353" s="15">
        <v>4</v>
      </c>
      <c r="E353" s="15">
        <v>1</v>
      </c>
      <c r="F353" s="15">
        <v>1217</v>
      </c>
      <c r="G353" s="16">
        <v>34.72</v>
      </c>
      <c r="H353" s="15">
        <f t="shared" si="5"/>
        <v>36</v>
      </c>
      <c r="I353" s="15">
        <v>8</v>
      </c>
      <c r="J353" s="15" t="b">
        <v>0</v>
      </c>
      <c r="K353" s="15" t="b">
        <v>1</v>
      </c>
    </row>
    <row r="354" spans="1:11" x14ac:dyDescent="0.3">
      <c r="A354" s="15" t="s">
        <v>406</v>
      </c>
      <c r="B354" s="15">
        <v>3</v>
      </c>
      <c r="C354" s="15" t="s">
        <v>494</v>
      </c>
      <c r="D354" s="15">
        <v>4</v>
      </c>
      <c r="E354" s="15">
        <v>2</v>
      </c>
      <c r="F354" s="15">
        <v>1293</v>
      </c>
      <c r="G354" s="16">
        <v>34.72</v>
      </c>
      <c r="H354" s="15">
        <f t="shared" si="5"/>
        <v>38</v>
      </c>
      <c r="I354" s="15">
        <v>8</v>
      </c>
      <c r="J354" s="15" t="b">
        <v>0</v>
      </c>
      <c r="K354" s="15" t="b">
        <v>1</v>
      </c>
    </row>
    <row r="355" spans="1:11" x14ac:dyDescent="0.3">
      <c r="A355" s="15" t="s">
        <v>406</v>
      </c>
      <c r="B355" s="15">
        <v>3</v>
      </c>
      <c r="C355" s="15" t="s">
        <v>494</v>
      </c>
      <c r="D355" s="15">
        <v>4</v>
      </c>
      <c r="E355" s="15">
        <v>3</v>
      </c>
      <c r="F355" s="15">
        <v>1358</v>
      </c>
      <c r="G355" s="16">
        <v>34.72</v>
      </c>
      <c r="H355" s="15">
        <f t="shared" si="5"/>
        <v>40</v>
      </c>
      <c r="I355" s="15">
        <v>8</v>
      </c>
      <c r="J355" s="15" t="b">
        <v>0</v>
      </c>
      <c r="K355" s="15" t="b">
        <v>1</v>
      </c>
    </row>
    <row r="356" spans="1:11" x14ac:dyDescent="0.3">
      <c r="A356" s="15" t="s">
        <v>406</v>
      </c>
      <c r="B356" s="15">
        <v>3</v>
      </c>
      <c r="C356" s="15" t="s">
        <v>494</v>
      </c>
      <c r="D356" s="15">
        <v>5</v>
      </c>
      <c r="E356" s="15">
        <v>1</v>
      </c>
      <c r="F356" s="15">
        <v>3955</v>
      </c>
      <c r="G356" s="16">
        <v>34.72</v>
      </c>
      <c r="H356" s="15">
        <f t="shared" si="5"/>
        <v>114</v>
      </c>
      <c r="I356" s="15">
        <v>27</v>
      </c>
      <c r="J356" s="15" t="b">
        <v>0</v>
      </c>
      <c r="K356" s="15" t="b">
        <v>1</v>
      </c>
    </row>
    <row r="357" spans="1:11" x14ac:dyDescent="0.3">
      <c r="A357" s="15" t="s">
        <v>406</v>
      </c>
      <c r="B357" s="15">
        <v>3</v>
      </c>
      <c r="C357" s="15" t="s">
        <v>494</v>
      </c>
      <c r="D357" s="15">
        <v>5</v>
      </c>
      <c r="E357" s="15">
        <v>2</v>
      </c>
      <c r="F357" s="15">
        <v>3867</v>
      </c>
      <c r="G357" s="16">
        <v>34.72</v>
      </c>
      <c r="H357" s="15">
        <f t="shared" si="5"/>
        <v>112</v>
      </c>
      <c r="I357" s="15">
        <v>27</v>
      </c>
      <c r="J357" s="15" t="b">
        <v>0</v>
      </c>
      <c r="K357" s="15" t="b">
        <v>1</v>
      </c>
    </row>
    <row r="358" spans="1:11" x14ac:dyDescent="0.3">
      <c r="A358" s="15" t="s">
        <v>406</v>
      </c>
      <c r="B358" s="15">
        <v>3</v>
      </c>
      <c r="C358" s="15" t="s">
        <v>494</v>
      </c>
      <c r="D358" s="15">
        <v>5</v>
      </c>
      <c r="E358" s="15">
        <v>3</v>
      </c>
      <c r="F358" s="15">
        <v>3787</v>
      </c>
      <c r="G358" s="16">
        <v>34.72</v>
      </c>
      <c r="H358" s="15">
        <f t="shared" si="5"/>
        <v>110</v>
      </c>
      <c r="I358" s="15">
        <v>27</v>
      </c>
      <c r="J358" s="15" t="b">
        <v>0</v>
      </c>
      <c r="K358" s="15" t="b">
        <v>1</v>
      </c>
    </row>
    <row r="359" spans="1:11" x14ac:dyDescent="0.3">
      <c r="A359" s="15" t="s">
        <v>406</v>
      </c>
      <c r="B359" s="15">
        <v>3</v>
      </c>
      <c r="C359" s="15" t="s">
        <v>495</v>
      </c>
      <c r="D359" s="15">
        <v>1</v>
      </c>
      <c r="E359" s="15">
        <v>1</v>
      </c>
      <c r="F359" s="15">
        <v>1985</v>
      </c>
      <c r="G359" s="16">
        <v>31.22</v>
      </c>
      <c r="H359" s="15">
        <f t="shared" si="5"/>
        <v>64</v>
      </c>
      <c r="I359" s="15">
        <v>9</v>
      </c>
      <c r="J359" s="15" t="b">
        <v>1</v>
      </c>
      <c r="K359" s="15" t="b">
        <v>1</v>
      </c>
    </row>
    <row r="360" spans="1:11" x14ac:dyDescent="0.3">
      <c r="A360" s="15" t="s">
        <v>406</v>
      </c>
      <c r="B360" s="15">
        <v>3</v>
      </c>
      <c r="C360" s="15" t="s">
        <v>495</v>
      </c>
      <c r="D360" s="15">
        <v>1</v>
      </c>
      <c r="E360" s="15">
        <v>2</v>
      </c>
      <c r="F360" s="15">
        <v>1897</v>
      </c>
      <c r="G360" s="16">
        <v>31.22</v>
      </c>
      <c r="H360" s="15">
        <f t="shared" si="5"/>
        <v>61</v>
      </c>
      <c r="I360" s="15">
        <v>9</v>
      </c>
      <c r="J360" s="15" t="b">
        <v>1</v>
      </c>
      <c r="K360" s="15" t="b">
        <v>1</v>
      </c>
    </row>
    <row r="361" spans="1:11" x14ac:dyDescent="0.3">
      <c r="A361" s="15" t="s">
        <v>406</v>
      </c>
      <c r="B361" s="15">
        <v>3</v>
      </c>
      <c r="C361" s="15" t="s">
        <v>495</v>
      </c>
      <c r="D361" s="15">
        <v>1</v>
      </c>
      <c r="E361" s="15">
        <v>3</v>
      </c>
      <c r="F361" s="15">
        <v>1735</v>
      </c>
      <c r="G361" s="16">
        <v>31.22</v>
      </c>
      <c r="H361" s="15">
        <f t="shared" si="5"/>
        <v>56</v>
      </c>
      <c r="I361" s="15">
        <v>9</v>
      </c>
      <c r="J361" s="15" t="b">
        <v>1</v>
      </c>
      <c r="K361" s="15" t="b">
        <v>1</v>
      </c>
    </row>
    <row r="362" spans="1:11" x14ac:dyDescent="0.3">
      <c r="A362" s="15" t="s">
        <v>406</v>
      </c>
      <c r="B362" s="15">
        <v>3</v>
      </c>
      <c r="C362" s="15" t="s">
        <v>495</v>
      </c>
      <c r="D362" s="15">
        <v>2</v>
      </c>
      <c r="E362" s="15">
        <v>1</v>
      </c>
      <c r="F362" s="15">
        <v>1933</v>
      </c>
      <c r="G362" s="16">
        <v>31.22</v>
      </c>
      <c r="H362" s="15">
        <f t="shared" si="5"/>
        <v>62</v>
      </c>
      <c r="I362" s="15">
        <v>9</v>
      </c>
      <c r="J362" s="15" t="b">
        <v>1</v>
      </c>
      <c r="K362" s="15" t="b">
        <v>1</v>
      </c>
    </row>
    <row r="363" spans="1:11" x14ac:dyDescent="0.3">
      <c r="A363" s="15" t="s">
        <v>406</v>
      </c>
      <c r="B363" s="15">
        <v>3</v>
      </c>
      <c r="C363" s="15" t="s">
        <v>495</v>
      </c>
      <c r="D363" s="15">
        <v>2</v>
      </c>
      <c r="E363" s="15">
        <v>2</v>
      </c>
      <c r="F363" s="15">
        <v>1874</v>
      </c>
      <c r="G363" s="16">
        <v>31.22</v>
      </c>
      <c r="H363" s="15">
        <f t="shared" si="5"/>
        <v>61</v>
      </c>
      <c r="I363" s="15">
        <v>9</v>
      </c>
      <c r="J363" s="15" t="b">
        <v>1</v>
      </c>
      <c r="K363" s="15" t="b">
        <v>1</v>
      </c>
    </row>
    <row r="364" spans="1:11" x14ac:dyDescent="0.3">
      <c r="A364" s="15" t="s">
        <v>406</v>
      </c>
      <c r="B364" s="15">
        <v>3</v>
      </c>
      <c r="C364" s="15" t="s">
        <v>495</v>
      </c>
      <c r="D364" s="15">
        <v>2</v>
      </c>
      <c r="E364" s="15">
        <v>3</v>
      </c>
      <c r="F364" s="15">
        <v>1816</v>
      </c>
      <c r="G364" s="16">
        <v>31.22</v>
      </c>
      <c r="H364" s="15">
        <f t="shared" si="5"/>
        <v>59</v>
      </c>
      <c r="I364" s="15">
        <v>9</v>
      </c>
      <c r="J364" s="15" t="b">
        <v>1</v>
      </c>
      <c r="K364" s="15" t="b">
        <v>1</v>
      </c>
    </row>
    <row r="365" spans="1:11" x14ac:dyDescent="0.3">
      <c r="A365" s="15" t="s">
        <v>406</v>
      </c>
      <c r="B365" s="15">
        <v>3</v>
      </c>
      <c r="C365" s="15" t="s">
        <v>495</v>
      </c>
      <c r="D365" s="15">
        <v>3</v>
      </c>
      <c r="E365" s="15">
        <v>1</v>
      </c>
      <c r="F365" s="15">
        <v>2042</v>
      </c>
      <c r="G365" s="16">
        <v>31.22</v>
      </c>
      <c r="H365" s="15">
        <f t="shared" si="5"/>
        <v>66</v>
      </c>
      <c r="I365" s="15">
        <v>25</v>
      </c>
      <c r="J365" s="15" t="b">
        <v>1</v>
      </c>
      <c r="K365" s="15" t="b">
        <v>1</v>
      </c>
    </row>
    <row r="366" spans="1:11" x14ac:dyDescent="0.3">
      <c r="A366" s="15" t="s">
        <v>406</v>
      </c>
      <c r="B366" s="15">
        <v>3</v>
      </c>
      <c r="C366" s="15" t="s">
        <v>495</v>
      </c>
      <c r="D366" s="15">
        <v>3</v>
      </c>
      <c r="E366" s="15">
        <v>2</v>
      </c>
      <c r="F366" s="15">
        <v>2116</v>
      </c>
      <c r="G366" s="16">
        <v>31.22</v>
      </c>
      <c r="H366" s="15">
        <f t="shared" si="5"/>
        <v>68</v>
      </c>
      <c r="I366" s="15">
        <v>25</v>
      </c>
      <c r="J366" s="15" t="b">
        <v>1</v>
      </c>
      <c r="K366" s="15" t="b">
        <v>1</v>
      </c>
    </row>
    <row r="367" spans="1:11" x14ac:dyDescent="0.3">
      <c r="A367" s="15" t="s">
        <v>406</v>
      </c>
      <c r="B367" s="15">
        <v>3</v>
      </c>
      <c r="C367" s="15" t="s">
        <v>495</v>
      </c>
      <c r="D367" s="15">
        <v>3</v>
      </c>
      <c r="E367" s="15">
        <v>3</v>
      </c>
      <c r="F367" s="15">
        <v>2058</v>
      </c>
      <c r="G367" s="16">
        <v>31.22</v>
      </c>
      <c r="H367" s="15">
        <f t="shared" si="5"/>
        <v>66</v>
      </c>
      <c r="I367" s="15">
        <v>25</v>
      </c>
      <c r="J367" s="15" t="b">
        <v>1</v>
      </c>
      <c r="K367" s="15" t="b">
        <v>1</v>
      </c>
    </row>
    <row r="368" spans="1:11" x14ac:dyDescent="0.3">
      <c r="A368" s="15" t="s">
        <v>406</v>
      </c>
      <c r="B368" s="15">
        <v>3</v>
      </c>
      <c r="C368" s="15" t="s">
        <v>495</v>
      </c>
      <c r="D368" s="15">
        <v>4</v>
      </c>
      <c r="E368" s="15">
        <v>1</v>
      </c>
      <c r="F368" s="15">
        <v>2239</v>
      </c>
      <c r="G368" s="16">
        <v>31.22</v>
      </c>
      <c r="H368" s="15">
        <f t="shared" si="5"/>
        <v>72</v>
      </c>
      <c r="I368" s="15">
        <v>24</v>
      </c>
      <c r="J368" s="15" t="b">
        <v>0</v>
      </c>
      <c r="K368" s="15" t="b">
        <v>1</v>
      </c>
    </row>
    <row r="369" spans="1:11" x14ac:dyDescent="0.3">
      <c r="A369" s="15" t="s">
        <v>406</v>
      </c>
      <c r="B369" s="15">
        <v>3</v>
      </c>
      <c r="C369" s="15" t="s">
        <v>495</v>
      </c>
      <c r="D369" s="15">
        <v>4</v>
      </c>
      <c r="E369" s="15">
        <v>2</v>
      </c>
      <c r="F369" s="15">
        <v>2364</v>
      </c>
      <c r="G369" s="16">
        <v>31.22</v>
      </c>
      <c r="H369" s="15">
        <f t="shared" si="5"/>
        <v>76</v>
      </c>
      <c r="I369" s="15">
        <v>24</v>
      </c>
      <c r="J369" s="15" t="b">
        <v>0</v>
      </c>
      <c r="K369" s="15" t="b">
        <v>1</v>
      </c>
    </row>
    <row r="370" spans="1:11" x14ac:dyDescent="0.3">
      <c r="A370" s="15" t="s">
        <v>406</v>
      </c>
      <c r="B370" s="15">
        <v>3</v>
      </c>
      <c r="C370" s="15" t="s">
        <v>495</v>
      </c>
      <c r="D370" s="15">
        <v>4</v>
      </c>
      <c r="E370" s="15">
        <v>3</v>
      </c>
      <c r="F370" s="15">
        <v>2209</v>
      </c>
      <c r="G370" s="16">
        <v>31.22</v>
      </c>
      <c r="H370" s="15">
        <f t="shared" si="5"/>
        <v>71</v>
      </c>
      <c r="I370" s="15">
        <v>24</v>
      </c>
      <c r="J370" s="15" t="b">
        <v>0</v>
      </c>
      <c r="K370" s="15" t="b">
        <v>1</v>
      </c>
    </row>
    <row r="371" spans="1:11" x14ac:dyDescent="0.3">
      <c r="A371" s="15" t="s">
        <v>406</v>
      </c>
      <c r="B371" s="15">
        <v>3</v>
      </c>
      <c r="C371" s="15" t="s">
        <v>495</v>
      </c>
      <c r="D371" s="15">
        <v>5</v>
      </c>
      <c r="E371" s="15">
        <v>1</v>
      </c>
      <c r="F371" s="15">
        <v>3094</v>
      </c>
      <c r="G371" s="16">
        <v>31.22</v>
      </c>
      <c r="H371" s="15">
        <f t="shared" si="5"/>
        <v>100</v>
      </c>
      <c r="I371" s="15">
        <v>20</v>
      </c>
      <c r="J371" s="15" t="b">
        <v>0</v>
      </c>
      <c r="K371" s="15" t="b">
        <v>1</v>
      </c>
    </row>
    <row r="372" spans="1:11" x14ac:dyDescent="0.3">
      <c r="A372" s="15" t="s">
        <v>406</v>
      </c>
      <c r="B372" s="15">
        <v>3</v>
      </c>
      <c r="C372" s="15" t="s">
        <v>495</v>
      </c>
      <c r="D372" s="15">
        <v>5</v>
      </c>
      <c r="E372" s="15">
        <v>2</v>
      </c>
      <c r="F372" s="15">
        <v>2950</v>
      </c>
      <c r="G372" s="16">
        <v>31.22</v>
      </c>
      <c r="H372" s="15">
        <f t="shared" si="5"/>
        <v>95</v>
      </c>
      <c r="I372" s="15">
        <v>20</v>
      </c>
      <c r="J372" s="15" t="b">
        <v>0</v>
      </c>
      <c r="K372" s="15" t="b">
        <v>1</v>
      </c>
    </row>
    <row r="373" spans="1:11" x14ac:dyDescent="0.3">
      <c r="A373" s="15" t="s">
        <v>406</v>
      </c>
      <c r="B373" s="15">
        <v>3</v>
      </c>
      <c r="C373" s="15" t="s">
        <v>495</v>
      </c>
      <c r="D373" s="15">
        <v>5</v>
      </c>
      <c r="E373" s="15">
        <v>3</v>
      </c>
      <c r="F373" s="15">
        <v>2817</v>
      </c>
      <c r="G373" s="16">
        <v>31.22</v>
      </c>
      <c r="H373" s="15">
        <f t="shared" si="5"/>
        <v>91</v>
      </c>
      <c r="I373" s="15">
        <v>20</v>
      </c>
      <c r="J373" s="15" t="b">
        <v>0</v>
      </c>
      <c r="K373" s="15" t="b">
        <v>1</v>
      </c>
    </row>
    <row r="374" spans="1:11" x14ac:dyDescent="0.3">
      <c r="A374" s="15" t="s">
        <v>406</v>
      </c>
      <c r="B374" s="15">
        <v>3</v>
      </c>
      <c r="C374" s="15" t="s">
        <v>496</v>
      </c>
      <c r="D374" s="15">
        <v>1</v>
      </c>
      <c r="E374" s="15">
        <v>1</v>
      </c>
      <c r="F374" s="15">
        <v>980</v>
      </c>
      <c r="G374" s="16">
        <v>31.71</v>
      </c>
      <c r="H374" s="15">
        <f t="shared" si="5"/>
        <v>31</v>
      </c>
      <c r="I374" s="15">
        <v>10</v>
      </c>
      <c r="J374" s="15" t="b">
        <v>1</v>
      </c>
      <c r="K374" s="15" t="b">
        <v>1</v>
      </c>
    </row>
    <row r="375" spans="1:11" x14ac:dyDescent="0.3">
      <c r="A375" s="15" t="s">
        <v>406</v>
      </c>
      <c r="B375" s="15">
        <v>3</v>
      </c>
      <c r="C375" s="15" t="s">
        <v>496</v>
      </c>
      <c r="D375" s="15">
        <v>1</v>
      </c>
      <c r="E375" s="15">
        <v>2</v>
      </c>
      <c r="F375" s="15">
        <v>934</v>
      </c>
      <c r="G375" s="16">
        <v>31.71</v>
      </c>
      <c r="H375" s="15">
        <f t="shared" si="5"/>
        <v>30</v>
      </c>
      <c r="I375" s="15">
        <v>10</v>
      </c>
      <c r="J375" s="15" t="b">
        <v>1</v>
      </c>
      <c r="K375" s="15" t="b">
        <v>1</v>
      </c>
    </row>
    <row r="376" spans="1:11" x14ac:dyDescent="0.3">
      <c r="A376" s="15" t="s">
        <v>406</v>
      </c>
      <c r="B376" s="15">
        <v>3</v>
      </c>
      <c r="C376" s="15" t="s">
        <v>496</v>
      </c>
      <c r="D376" s="15">
        <v>1</v>
      </c>
      <c r="E376" s="15">
        <v>3</v>
      </c>
      <c r="F376" s="15">
        <v>951</v>
      </c>
      <c r="G376" s="16">
        <v>31.71</v>
      </c>
      <c r="H376" s="15">
        <f t="shared" si="5"/>
        <v>30</v>
      </c>
      <c r="I376" s="15">
        <v>10</v>
      </c>
      <c r="J376" s="15" t="b">
        <v>1</v>
      </c>
      <c r="K376" s="15" t="b">
        <v>1</v>
      </c>
    </row>
    <row r="377" spans="1:11" x14ac:dyDescent="0.3">
      <c r="A377" s="15" t="s">
        <v>406</v>
      </c>
      <c r="B377" s="15">
        <v>3</v>
      </c>
      <c r="C377" s="15" t="s">
        <v>496</v>
      </c>
      <c r="D377" s="15">
        <v>2</v>
      </c>
      <c r="E377" s="15">
        <v>1</v>
      </c>
      <c r="F377" s="15">
        <v>1108</v>
      </c>
      <c r="G377" s="16">
        <v>31.71</v>
      </c>
      <c r="H377" s="15">
        <f t="shared" si="5"/>
        <v>35</v>
      </c>
      <c r="I377" s="15">
        <v>7</v>
      </c>
      <c r="J377" s="15" t="b">
        <v>1</v>
      </c>
      <c r="K377" s="15" t="b">
        <v>1</v>
      </c>
    </row>
    <row r="378" spans="1:11" x14ac:dyDescent="0.3">
      <c r="A378" s="15" t="s">
        <v>406</v>
      </c>
      <c r="B378" s="15">
        <v>3</v>
      </c>
      <c r="C378" s="15" t="s">
        <v>496</v>
      </c>
      <c r="D378" s="15">
        <v>2</v>
      </c>
      <c r="E378" s="15">
        <v>2</v>
      </c>
      <c r="F378" s="15">
        <v>1117</v>
      </c>
      <c r="G378" s="16">
        <v>31.71</v>
      </c>
      <c r="H378" s="15">
        <f t="shared" si="5"/>
        <v>36</v>
      </c>
      <c r="I378" s="15">
        <v>7</v>
      </c>
      <c r="J378" s="15" t="b">
        <v>1</v>
      </c>
      <c r="K378" s="15" t="b">
        <v>1</v>
      </c>
    </row>
    <row r="379" spans="1:11" x14ac:dyDescent="0.3">
      <c r="A379" s="15" t="s">
        <v>406</v>
      </c>
      <c r="B379" s="15">
        <v>3</v>
      </c>
      <c r="C379" s="15" t="s">
        <v>496</v>
      </c>
      <c r="D379" s="15">
        <v>2</v>
      </c>
      <c r="E379" s="15">
        <v>3</v>
      </c>
      <c r="F379" s="15">
        <v>1082</v>
      </c>
      <c r="G379" s="16">
        <v>31.71</v>
      </c>
      <c r="H379" s="15">
        <f t="shared" si="5"/>
        <v>35</v>
      </c>
      <c r="I379" s="15">
        <v>7</v>
      </c>
      <c r="J379" s="15" t="b">
        <v>1</v>
      </c>
      <c r="K379" s="15" t="b">
        <v>1</v>
      </c>
    </row>
    <row r="380" spans="1:11" x14ac:dyDescent="0.3">
      <c r="A380" s="15" t="s">
        <v>406</v>
      </c>
      <c r="B380" s="15">
        <v>3</v>
      </c>
      <c r="C380" s="15" t="s">
        <v>496</v>
      </c>
      <c r="D380" s="15">
        <v>3</v>
      </c>
      <c r="E380" s="15">
        <v>1</v>
      </c>
      <c r="F380" s="15">
        <v>728</v>
      </c>
      <c r="G380" s="16">
        <v>31.71</v>
      </c>
      <c r="H380" s="15">
        <f t="shared" si="5"/>
        <v>23</v>
      </c>
      <c r="I380" s="15">
        <v>6</v>
      </c>
      <c r="J380" s="15" t="b">
        <v>1</v>
      </c>
      <c r="K380" s="15" t="b">
        <v>1</v>
      </c>
    </row>
    <row r="381" spans="1:11" x14ac:dyDescent="0.3">
      <c r="A381" s="15" t="s">
        <v>406</v>
      </c>
      <c r="B381" s="15">
        <v>3</v>
      </c>
      <c r="C381" s="15" t="s">
        <v>496</v>
      </c>
      <c r="D381" s="15">
        <v>3</v>
      </c>
      <c r="E381" s="15">
        <v>2</v>
      </c>
      <c r="F381" s="15">
        <v>701</v>
      </c>
      <c r="G381" s="16">
        <v>31.71</v>
      </c>
      <c r="H381" s="15">
        <f t="shared" si="5"/>
        <v>23</v>
      </c>
      <c r="I381" s="15">
        <v>6</v>
      </c>
      <c r="J381" s="15" t="b">
        <v>1</v>
      </c>
      <c r="K381" s="15" t="b">
        <v>1</v>
      </c>
    </row>
    <row r="382" spans="1:11" x14ac:dyDescent="0.3">
      <c r="A382" s="15" t="s">
        <v>406</v>
      </c>
      <c r="B382" s="15">
        <v>3</v>
      </c>
      <c r="C382" s="15" t="s">
        <v>496</v>
      </c>
      <c r="D382" s="15">
        <v>3</v>
      </c>
      <c r="E382" s="15">
        <v>3</v>
      </c>
      <c r="F382" s="15">
        <v>642</v>
      </c>
      <c r="G382" s="16">
        <v>31.71</v>
      </c>
      <c r="H382" s="15">
        <f t="shared" si="5"/>
        <v>21</v>
      </c>
      <c r="I382" s="15">
        <v>6</v>
      </c>
      <c r="J382" s="15" t="b">
        <v>1</v>
      </c>
      <c r="K382" s="15" t="b">
        <v>1</v>
      </c>
    </row>
    <row r="383" spans="1:11" x14ac:dyDescent="0.3">
      <c r="A383" s="15" t="s">
        <v>406</v>
      </c>
      <c r="B383" s="15">
        <v>3</v>
      </c>
      <c r="C383" s="15" t="s">
        <v>496</v>
      </c>
      <c r="D383" s="15">
        <v>4</v>
      </c>
      <c r="E383" s="15">
        <v>1</v>
      </c>
      <c r="F383" s="15">
        <v>583</v>
      </c>
      <c r="G383" s="16">
        <v>31.71</v>
      </c>
      <c r="H383" s="15">
        <f t="shared" si="5"/>
        <v>19</v>
      </c>
      <c r="I383" s="15">
        <v>4</v>
      </c>
      <c r="J383" s="15" t="b">
        <v>0</v>
      </c>
      <c r="K383" s="15" t="b">
        <v>1</v>
      </c>
    </row>
    <row r="384" spans="1:11" x14ac:dyDescent="0.3">
      <c r="A384" s="15" t="s">
        <v>406</v>
      </c>
      <c r="B384" s="15">
        <v>3</v>
      </c>
      <c r="C384" s="15" t="s">
        <v>496</v>
      </c>
      <c r="D384" s="15">
        <v>4</v>
      </c>
      <c r="E384" s="15">
        <v>2</v>
      </c>
      <c r="F384" s="15">
        <v>557</v>
      </c>
      <c r="G384" s="16">
        <v>31.71</v>
      </c>
      <c r="H384" s="15">
        <f t="shared" si="5"/>
        <v>18</v>
      </c>
      <c r="I384" s="15">
        <v>4</v>
      </c>
      <c r="J384" s="15" t="b">
        <v>0</v>
      </c>
      <c r="K384" s="15" t="b">
        <v>1</v>
      </c>
    </row>
    <row r="385" spans="1:11" x14ac:dyDescent="0.3">
      <c r="A385" s="15" t="s">
        <v>406</v>
      </c>
      <c r="B385" s="15">
        <v>3</v>
      </c>
      <c r="C385" s="15" t="s">
        <v>496</v>
      </c>
      <c r="D385" s="15">
        <v>4</v>
      </c>
      <c r="E385" s="15">
        <v>3</v>
      </c>
      <c r="F385" s="15">
        <v>498</v>
      </c>
      <c r="G385" s="16">
        <v>31.71</v>
      </c>
      <c r="H385" s="15">
        <f t="shared" si="5"/>
        <v>16</v>
      </c>
      <c r="I385" s="15">
        <v>4</v>
      </c>
      <c r="J385" s="15" t="b">
        <v>0</v>
      </c>
      <c r="K385" s="15" t="b">
        <v>1</v>
      </c>
    </row>
    <row r="386" spans="1:11" x14ac:dyDescent="0.3">
      <c r="A386" s="15" t="s">
        <v>406</v>
      </c>
      <c r="B386" s="15">
        <v>3</v>
      </c>
      <c r="C386" s="15" t="s">
        <v>496</v>
      </c>
      <c r="D386" s="15">
        <v>5</v>
      </c>
      <c r="E386" s="15">
        <v>1</v>
      </c>
      <c r="F386" s="15">
        <v>2630</v>
      </c>
      <c r="G386" s="16">
        <v>31.71</v>
      </c>
      <c r="H386" s="15">
        <f t="shared" si="5"/>
        <v>83</v>
      </c>
      <c r="I386" s="15">
        <v>19</v>
      </c>
      <c r="J386" s="15" t="b">
        <v>0</v>
      </c>
      <c r="K386" s="15" t="b">
        <v>1</v>
      </c>
    </row>
    <row r="387" spans="1:11" x14ac:dyDescent="0.3">
      <c r="A387" s="15" t="s">
        <v>406</v>
      </c>
      <c r="B387" s="15">
        <v>3</v>
      </c>
      <c r="C387" s="15" t="s">
        <v>496</v>
      </c>
      <c r="D387" s="15">
        <v>5</v>
      </c>
      <c r="E387" s="15">
        <v>2</v>
      </c>
      <c r="F387" s="15">
        <v>2312</v>
      </c>
      <c r="G387" s="16">
        <v>31.71</v>
      </c>
      <c r="H387" s="15">
        <f t="shared" ref="H387:H450" si="6">ROUNDUP(F387/G387,0)</f>
        <v>73</v>
      </c>
      <c r="I387" s="15">
        <v>19</v>
      </c>
      <c r="J387" s="15" t="b">
        <v>0</v>
      </c>
      <c r="K387" s="15" t="b">
        <v>1</v>
      </c>
    </row>
    <row r="388" spans="1:11" x14ac:dyDescent="0.3">
      <c r="A388" s="15" t="s">
        <v>406</v>
      </c>
      <c r="B388" s="15">
        <v>3</v>
      </c>
      <c r="C388" s="15" t="s">
        <v>496</v>
      </c>
      <c r="D388" s="15">
        <v>5</v>
      </c>
      <c r="E388" s="15">
        <v>3</v>
      </c>
      <c r="F388" s="15">
        <v>2238</v>
      </c>
      <c r="G388" s="16">
        <v>31.71</v>
      </c>
      <c r="H388" s="15">
        <f t="shared" si="6"/>
        <v>71</v>
      </c>
      <c r="I388" s="15">
        <v>19</v>
      </c>
      <c r="J388" s="15" t="b">
        <v>0</v>
      </c>
      <c r="K388" s="15" t="b">
        <v>1</v>
      </c>
    </row>
    <row r="389" spans="1:11" x14ac:dyDescent="0.3">
      <c r="A389" s="15" t="s">
        <v>406</v>
      </c>
      <c r="B389" s="15">
        <v>3</v>
      </c>
      <c r="C389" s="15" t="s">
        <v>497</v>
      </c>
      <c r="D389" s="15">
        <v>1</v>
      </c>
      <c r="E389" s="15">
        <v>1</v>
      </c>
      <c r="F389" s="15">
        <v>3143</v>
      </c>
      <c r="G389" s="16">
        <v>33.25</v>
      </c>
      <c r="H389" s="15">
        <f t="shared" si="6"/>
        <v>95</v>
      </c>
      <c r="I389" s="15">
        <v>22</v>
      </c>
      <c r="J389" s="15" t="b">
        <v>1</v>
      </c>
      <c r="K389" s="15" t="b">
        <v>1</v>
      </c>
    </row>
    <row r="390" spans="1:11" x14ac:dyDescent="0.3">
      <c r="A390" s="15" t="s">
        <v>406</v>
      </c>
      <c r="B390" s="15">
        <v>3</v>
      </c>
      <c r="C390" s="15" t="s">
        <v>497</v>
      </c>
      <c r="D390" s="15">
        <v>1</v>
      </c>
      <c r="E390" s="15">
        <v>2</v>
      </c>
      <c r="F390" s="15">
        <v>2720</v>
      </c>
      <c r="G390" s="16">
        <v>33.25</v>
      </c>
      <c r="H390" s="15">
        <f t="shared" si="6"/>
        <v>82</v>
      </c>
      <c r="I390" s="15">
        <v>22</v>
      </c>
      <c r="J390" s="15" t="b">
        <v>1</v>
      </c>
      <c r="K390" s="15" t="b">
        <v>1</v>
      </c>
    </row>
    <row r="391" spans="1:11" x14ac:dyDescent="0.3">
      <c r="A391" s="15" t="s">
        <v>406</v>
      </c>
      <c r="B391" s="15">
        <v>3</v>
      </c>
      <c r="C391" s="15" t="s">
        <v>497</v>
      </c>
      <c r="D391" s="15">
        <v>1</v>
      </c>
      <c r="E391" s="15">
        <v>3</v>
      </c>
      <c r="F391" s="15">
        <v>2684</v>
      </c>
      <c r="G391" s="16">
        <v>33.25</v>
      </c>
      <c r="H391" s="15">
        <f t="shared" si="6"/>
        <v>81</v>
      </c>
      <c r="I391" s="15">
        <v>22</v>
      </c>
      <c r="J391" s="15" t="b">
        <v>1</v>
      </c>
      <c r="K391" s="15" t="b">
        <v>1</v>
      </c>
    </row>
    <row r="392" spans="1:11" x14ac:dyDescent="0.3">
      <c r="A392" s="15" t="s">
        <v>406</v>
      </c>
      <c r="B392" s="15">
        <v>3</v>
      </c>
      <c r="C392" s="15" t="s">
        <v>497</v>
      </c>
      <c r="D392" s="15">
        <v>2</v>
      </c>
      <c r="E392" s="15">
        <v>1</v>
      </c>
      <c r="F392" s="15">
        <v>2966</v>
      </c>
      <c r="G392" s="16">
        <v>33.25</v>
      </c>
      <c r="H392" s="15">
        <f t="shared" si="6"/>
        <v>90</v>
      </c>
      <c r="I392" s="15">
        <v>22</v>
      </c>
      <c r="J392" s="15" t="b">
        <v>1</v>
      </c>
      <c r="K392" s="15" t="b">
        <v>1</v>
      </c>
    </row>
    <row r="393" spans="1:11" x14ac:dyDescent="0.3">
      <c r="A393" s="15" t="s">
        <v>406</v>
      </c>
      <c r="B393" s="15">
        <v>3</v>
      </c>
      <c r="C393" s="15" t="s">
        <v>497</v>
      </c>
      <c r="D393" s="15">
        <v>2</v>
      </c>
      <c r="E393" s="15">
        <v>2</v>
      </c>
      <c r="F393" s="15">
        <v>2955</v>
      </c>
      <c r="G393" s="16">
        <v>33.25</v>
      </c>
      <c r="H393" s="15">
        <f t="shared" si="6"/>
        <v>89</v>
      </c>
      <c r="I393" s="15">
        <v>22</v>
      </c>
      <c r="J393" s="15" t="b">
        <v>1</v>
      </c>
      <c r="K393" s="15" t="b">
        <v>1</v>
      </c>
    </row>
    <row r="394" spans="1:11" x14ac:dyDescent="0.3">
      <c r="A394" s="15" t="s">
        <v>406</v>
      </c>
      <c r="B394" s="15">
        <v>3</v>
      </c>
      <c r="C394" s="15" t="s">
        <v>497</v>
      </c>
      <c r="D394" s="15">
        <v>2</v>
      </c>
      <c r="E394" s="15">
        <v>3</v>
      </c>
      <c r="F394" s="15">
        <v>2687</v>
      </c>
      <c r="G394" s="16">
        <v>33.25</v>
      </c>
      <c r="H394" s="15">
        <f t="shared" si="6"/>
        <v>81</v>
      </c>
      <c r="I394" s="15">
        <v>22</v>
      </c>
      <c r="J394" s="15" t="b">
        <v>1</v>
      </c>
      <c r="K394" s="15" t="b">
        <v>1</v>
      </c>
    </row>
    <row r="395" spans="1:11" x14ac:dyDescent="0.3">
      <c r="A395" s="15" t="s">
        <v>406</v>
      </c>
      <c r="B395" s="15">
        <v>3</v>
      </c>
      <c r="C395" s="15" t="s">
        <v>497</v>
      </c>
      <c r="D395" s="15">
        <v>3</v>
      </c>
      <c r="E395" s="15">
        <v>1</v>
      </c>
      <c r="F395" s="15">
        <v>2233</v>
      </c>
      <c r="G395" s="16">
        <v>33.25</v>
      </c>
      <c r="H395" s="15">
        <f t="shared" si="6"/>
        <v>68</v>
      </c>
      <c r="I395" s="15">
        <v>17</v>
      </c>
      <c r="J395" s="15" t="b">
        <v>1</v>
      </c>
      <c r="K395" s="15" t="b">
        <v>1</v>
      </c>
    </row>
    <row r="396" spans="1:11" x14ac:dyDescent="0.3">
      <c r="A396" s="15" t="s">
        <v>406</v>
      </c>
      <c r="B396" s="15">
        <v>3</v>
      </c>
      <c r="C396" s="15" t="s">
        <v>497</v>
      </c>
      <c r="D396" s="15">
        <v>3</v>
      </c>
      <c r="E396" s="15">
        <v>2</v>
      </c>
      <c r="F396" s="15">
        <v>2250</v>
      </c>
      <c r="G396" s="16">
        <v>33.25</v>
      </c>
      <c r="H396" s="15">
        <f t="shared" si="6"/>
        <v>68</v>
      </c>
      <c r="I396" s="15">
        <v>17</v>
      </c>
      <c r="J396" s="15" t="b">
        <v>1</v>
      </c>
      <c r="K396" s="15" t="b">
        <v>1</v>
      </c>
    </row>
    <row r="397" spans="1:11" x14ac:dyDescent="0.3">
      <c r="A397" s="15" t="s">
        <v>406</v>
      </c>
      <c r="B397" s="15">
        <v>3</v>
      </c>
      <c r="C397" s="15" t="s">
        <v>497</v>
      </c>
      <c r="D397" s="15">
        <v>3</v>
      </c>
      <c r="E397" s="15">
        <v>3</v>
      </c>
      <c r="F397" s="15">
        <v>2146</v>
      </c>
      <c r="G397" s="16">
        <v>33.25</v>
      </c>
      <c r="H397" s="15">
        <f t="shared" si="6"/>
        <v>65</v>
      </c>
      <c r="I397" s="15">
        <v>17</v>
      </c>
      <c r="J397" s="15" t="b">
        <v>1</v>
      </c>
      <c r="K397" s="15" t="b">
        <v>1</v>
      </c>
    </row>
    <row r="398" spans="1:11" x14ac:dyDescent="0.3">
      <c r="A398" s="15" t="s">
        <v>406</v>
      </c>
      <c r="B398" s="15">
        <v>3</v>
      </c>
      <c r="C398" s="15" t="s">
        <v>497</v>
      </c>
      <c r="D398" s="15">
        <v>4</v>
      </c>
      <c r="E398" s="15">
        <v>1</v>
      </c>
      <c r="F398" s="15">
        <v>1505</v>
      </c>
      <c r="G398" s="16">
        <v>33.25</v>
      </c>
      <c r="H398" s="15">
        <f t="shared" si="6"/>
        <v>46</v>
      </c>
      <c r="I398" s="15">
        <v>15</v>
      </c>
      <c r="J398" s="15" t="b">
        <v>0</v>
      </c>
      <c r="K398" s="15" t="b">
        <v>1</v>
      </c>
    </row>
    <row r="399" spans="1:11" x14ac:dyDescent="0.3">
      <c r="A399" s="15" t="s">
        <v>406</v>
      </c>
      <c r="B399" s="15">
        <v>3</v>
      </c>
      <c r="C399" s="15" t="s">
        <v>497</v>
      </c>
      <c r="D399" s="15">
        <v>4</v>
      </c>
      <c r="E399" s="15">
        <v>2</v>
      </c>
      <c r="F399" s="15">
        <v>1497</v>
      </c>
      <c r="G399" s="16">
        <v>33.25</v>
      </c>
      <c r="H399" s="15">
        <f t="shared" si="6"/>
        <v>46</v>
      </c>
      <c r="I399" s="15">
        <v>15</v>
      </c>
      <c r="J399" s="15" t="b">
        <v>0</v>
      </c>
      <c r="K399" s="15" t="b">
        <v>1</v>
      </c>
    </row>
    <row r="400" spans="1:11" x14ac:dyDescent="0.3">
      <c r="A400" s="15" t="s">
        <v>406</v>
      </c>
      <c r="B400" s="15">
        <v>3</v>
      </c>
      <c r="C400" s="15" t="s">
        <v>497</v>
      </c>
      <c r="D400" s="15">
        <v>4</v>
      </c>
      <c r="E400" s="15">
        <v>3</v>
      </c>
      <c r="F400" s="15">
        <v>1457</v>
      </c>
      <c r="G400" s="16">
        <v>33.25</v>
      </c>
      <c r="H400" s="15">
        <f t="shared" si="6"/>
        <v>44</v>
      </c>
      <c r="I400" s="15">
        <v>15</v>
      </c>
      <c r="J400" s="15" t="b">
        <v>0</v>
      </c>
      <c r="K400" s="15" t="b">
        <v>1</v>
      </c>
    </row>
    <row r="401" spans="1:11" x14ac:dyDescent="0.3">
      <c r="A401" s="15" t="s">
        <v>406</v>
      </c>
      <c r="B401" s="15">
        <v>3</v>
      </c>
      <c r="C401" s="15" t="s">
        <v>497</v>
      </c>
      <c r="D401" s="15">
        <v>5</v>
      </c>
      <c r="E401" s="15">
        <v>1</v>
      </c>
      <c r="F401" s="15">
        <v>1677</v>
      </c>
      <c r="G401" s="16">
        <v>33.25</v>
      </c>
      <c r="H401" s="15">
        <f t="shared" si="6"/>
        <v>51</v>
      </c>
      <c r="I401" s="15">
        <v>12</v>
      </c>
      <c r="J401" s="15" t="b">
        <v>0</v>
      </c>
      <c r="K401" s="15" t="b">
        <v>1</v>
      </c>
    </row>
    <row r="402" spans="1:11" x14ac:dyDescent="0.3">
      <c r="A402" s="15" t="s">
        <v>406</v>
      </c>
      <c r="B402" s="15">
        <v>3</v>
      </c>
      <c r="C402" s="15" t="s">
        <v>497</v>
      </c>
      <c r="D402" s="15">
        <v>5</v>
      </c>
      <c r="E402" s="15">
        <v>2</v>
      </c>
      <c r="F402" s="15">
        <v>1605</v>
      </c>
      <c r="G402" s="16">
        <v>33.25</v>
      </c>
      <c r="H402" s="15">
        <f t="shared" si="6"/>
        <v>49</v>
      </c>
      <c r="I402" s="15">
        <v>12</v>
      </c>
      <c r="J402" s="15" t="b">
        <v>0</v>
      </c>
      <c r="K402" s="15" t="b">
        <v>1</v>
      </c>
    </row>
    <row r="403" spans="1:11" x14ac:dyDescent="0.3">
      <c r="A403" s="15" t="s">
        <v>406</v>
      </c>
      <c r="B403" s="15">
        <v>3</v>
      </c>
      <c r="C403" s="15" t="s">
        <v>497</v>
      </c>
      <c r="D403" s="15">
        <v>5</v>
      </c>
      <c r="E403" s="15">
        <v>3</v>
      </c>
      <c r="F403" s="15">
        <v>1517</v>
      </c>
      <c r="G403" s="16">
        <v>33.25</v>
      </c>
      <c r="H403" s="15">
        <f t="shared" si="6"/>
        <v>46</v>
      </c>
      <c r="I403" s="15">
        <v>12</v>
      </c>
      <c r="J403" s="15" t="b">
        <v>0</v>
      </c>
      <c r="K403" s="15" t="b">
        <v>1</v>
      </c>
    </row>
    <row r="404" spans="1:11" x14ac:dyDescent="0.3">
      <c r="A404" s="15" t="s">
        <v>406</v>
      </c>
      <c r="B404" s="15">
        <v>3</v>
      </c>
      <c r="C404" s="15" t="s">
        <v>498</v>
      </c>
      <c r="D404" s="15">
        <v>1</v>
      </c>
      <c r="E404" s="15">
        <v>1</v>
      </c>
      <c r="F404" s="15">
        <v>4625</v>
      </c>
      <c r="G404" s="16">
        <v>33.549999999999997</v>
      </c>
      <c r="H404" s="15">
        <f t="shared" si="6"/>
        <v>138</v>
      </c>
      <c r="I404" s="15">
        <v>31</v>
      </c>
      <c r="J404" s="15" t="b">
        <v>1</v>
      </c>
      <c r="K404" s="15" t="b">
        <v>1</v>
      </c>
    </row>
    <row r="405" spans="1:11" x14ac:dyDescent="0.3">
      <c r="A405" s="15" t="s">
        <v>406</v>
      </c>
      <c r="B405" s="15">
        <v>3</v>
      </c>
      <c r="C405" s="15" t="s">
        <v>498</v>
      </c>
      <c r="D405" s="15">
        <v>1</v>
      </c>
      <c r="E405" s="15">
        <v>2</v>
      </c>
      <c r="F405" s="15">
        <v>4980</v>
      </c>
      <c r="G405" s="16">
        <v>33.549999999999997</v>
      </c>
      <c r="H405" s="15">
        <f t="shared" si="6"/>
        <v>149</v>
      </c>
      <c r="I405" s="15">
        <v>31</v>
      </c>
      <c r="J405" s="15" t="b">
        <v>1</v>
      </c>
      <c r="K405" s="15" t="b">
        <v>1</v>
      </c>
    </row>
    <row r="406" spans="1:11" x14ac:dyDescent="0.3">
      <c r="A406" s="15" t="s">
        <v>406</v>
      </c>
      <c r="B406" s="15">
        <v>3</v>
      </c>
      <c r="C406" s="15" t="s">
        <v>498</v>
      </c>
      <c r="D406" s="15">
        <v>1</v>
      </c>
      <c r="E406" s="15">
        <v>3</v>
      </c>
      <c r="F406" s="15">
        <v>4586</v>
      </c>
      <c r="G406" s="16">
        <v>33.549999999999997</v>
      </c>
      <c r="H406" s="15">
        <f t="shared" si="6"/>
        <v>137</v>
      </c>
      <c r="I406" s="15">
        <v>31</v>
      </c>
      <c r="J406" s="15" t="b">
        <v>1</v>
      </c>
      <c r="K406" s="15" t="b">
        <v>1</v>
      </c>
    </row>
    <row r="407" spans="1:11" x14ac:dyDescent="0.3">
      <c r="A407" s="15" t="s">
        <v>406</v>
      </c>
      <c r="B407" s="15">
        <v>3</v>
      </c>
      <c r="C407" s="15" t="s">
        <v>498</v>
      </c>
      <c r="D407" s="15">
        <v>2</v>
      </c>
      <c r="E407" s="15">
        <v>1</v>
      </c>
      <c r="F407" s="15">
        <v>1689</v>
      </c>
      <c r="G407" s="16">
        <v>33.549999999999997</v>
      </c>
      <c r="H407" s="15">
        <f t="shared" si="6"/>
        <v>51</v>
      </c>
      <c r="I407" s="15">
        <v>12</v>
      </c>
      <c r="J407" s="15" t="b">
        <v>1</v>
      </c>
      <c r="K407" s="15" t="b">
        <v>1</v>
      </c>
    </row>
    <row r="408" spans="1:11" x14ac:dyDescent="0.3">
      <c r="A408" s="15" t="s">
        <v>406</v>
      </c>
      <c r="B408" s="15">
        <v>3</v>
      </c>
      <c r="C408" s="15" t="s">
        <v>498</v>
      </c>
      <c r="D408" s="15">
        <v>2</v>
      </c>
      <c r="E408" s="15">
        <v>2</v>
      </c>
      <c r="F408" s="15">
        <v>1630</v>
      </c>
      <c r="G408" s="16">
        <v>33.549999999999997</v>
      </c>
      <c r="H408" s="15">
        <f t="shared" si="6"/>
        <v>49</v>
      </c>
      <c r="I408" s="15">
        <v>12</v>
      </c>
      <c r="J408" s="15" t="b">
        <v>1</v>
      </c>
      <c r="K408" s="15" t="b">
        <v>1</v>
      </c>
    </row>
    <row r="409" spans="1:11" x14ac:dyDescent="0.3">
      <c r="A409" s="15" t="s">
        <v>406</v>
      </c>
      <c r="B409" s="15">
        <v>3</v>
      </c>
      <c r="C409" s="15" t="s">
        <v>498</v>
      </c>
      <c r="D409" s="15">
        <v>2</v>
      </c>
      <c r="E409" s="15">
        <v>3</v>
      </c>
      <c r="F409" s="15">
        <v>1679</v>
      </c>
      <c r="G409" s="16">
        <v>33.549999999999997</v>
      </c>
      <c r="H409" s="15">
        <f t="shared" si="6"/>
        <v>51</v>
      </c>
      <c r="I409" s="15">
        <v>12</v>
      </c>
      <c r="J409" s="15" t="b">
        <v>1</v>
      </c>
      <c r="K409" s="15" t="b">
        <v>1</v>
      </c>
    </row>
    <row r="410" spans="1:11" x14ac:dyDescent="0.3">
      <c r="A410" s="15" t="s">
        <v>406</v>
      </c>
      <c r="B410" s="15">
        <v>3</v>
      </c>
      <c r="C410" s="15" t="s">
        <v>498</v>
      </c>
      <c r="D410" s="15">
        <v>3</v>
      </c>
      <c r="E410" s="15">
        <v>1</v>
      </c>
      <c r="F410" s="15">
        <v>696</v>
      </c>
      <c r="G410" s="16">
        <v>33.549999999999997</v>
      </c>
      <c r="H410" s="15">
        <f t="shared" si="6"/>
        <v>21</v>
      </c>
      <c r="I410" s="15">
        <v>5</v>
      </c>
      <c r="J410" s="15" t="b">
        <v>1</v>
      </c>
      <c r="K410" s="15" t="b">
        <v>1</v>
      </c>
    </row>
    <row r="411" spans="1:11" x14ac:dyDescent="0.3">
      <c r="A411" s="15" t="s">
        <v>406</v>
      </c>
      <c r="B411" s="15">
        <v>3</v>
      </c>
      <c r="C411" s="15" t="s">
        <v>498</v>
      </c>
      <c r="D411" s="15">
        <v>3</v>
      </c>
      <c r="E411" s="15">
        <v>2</v>
      </c>
      <c r="F411" s="15">
        <v>700</v>
      </c>
      <c r="G411" s="16">
        <v>33.549999999999997</v>
      </c>
      <c r="H411" s="15">
        <f t="shared" si="6"/>
        <v>21</v>
      </c>
      <c r="I411" s="15">
        <v>5</v>
      </c>
      <c r="J411" s="15" t="b">
        <v>1</v>
      </c>
      <c r="K411" s="15" t="b">
        <v>1</v>
      </c>
    </row>
    <row r="412" spans="1:11" x14ac:dyDescent="0.3">
      <c r="A412" s="15" t="s">
        <v>406</v>
      </c>
      <c r="B412" s="15">
        <v>3</v>
      </c>
      <c r="C412" s="15" t="s">
        <v>498</v>
      </c>
      <c r="D412" s="15">
        <v>3</v>
      </c>
      <c r="E412" s="15">
        <v>3</v>
      </c>
      <c r="F412" s="15">
        <v>684</v>
      </c>
      <c r="G412" s="16">
        <v>33.549999999999997</v>
      </c>
      <c r="H412" s="15">
        <f t="shared" si="6"/>
        <v>21</v>
      </c>
      <c r="I412" s="15">
        <v>5</v>
      </c>
      <c r="J412" s="15" t="b">
        <v>1</v>
      </c>
      <c r="K412" s="15" t="b">
        <v>1</v>
      </c>
    </row>
    <row r="413" spans="1:11" x14ac:dyDescent="0.3">
      <c r="A413" s="15" t="s">
        <v>406</v>
      </c>
      <c r="B413" s="15">
        <v>3</v>
      </c>
      <c r="C413" s="15" t="s">
        <v>498</v>
      </c>
      <c r="D413" s="15">
        <v>4</v>
      </c>
      <c r="E413" s="15">
        <v>1</v>
      </c>
      <c r="F413" s="15">
        <v>2253</v>
      </c>
      <c r="G413" s="16">
        <v>33.549999999999997</v>
      </c>
      <c r="H413" s="15">
        <f t="shared" si="6"/>
        <v>68</v>
      </c>
      <c r="I413" s="15">
        <v>18</v>
      </c>
      <c r="J413" s="15" t="b">
        <v>0</v>
      </c>
      <c r="K413" s="15" t="b">
        <v>1</v>
      </c>
    </row>
    <row r="414" spans="1:11" x14ac:dyDescent="0.3">
      <c r="A414" s="15" t="s">
        <v>406</v>
      </c>
      <c r="B414" s="15">
        <v>3</v>
      </c>
      <c r="C414" s="15" t="s">
        <v>498</v>
      </c>
      <c r="D414" s="15">
        <v>4</v>
      </c>
      <c r="E414" s="15">
        <v>2</v>
      </c>
      <c r="F414" s="15">
        <v>2134</v>
      </c>
      <c r="G414" s="16">
        <v>33.549999999999997</v>
      </c>
      <c r="H414" s="15">
        <f t="shared" si="6"/>
        <v>64</v>
      </c>
      <c r="I414" s="15">
        <v>18</v>
      </c>
      <c r="J414" s="15" t="b">
        <v>0</v>
      </c>
      <c r="K414" s="15" t="b">
        <v>1</v>
      </c>
    </row>
    <row r="415" spans="1:11" x14ac:dyDescent="0.3">
      <c r="A415" s="15" t="s">
        <v>406</v>
      </c>
      <c r="B415" s="15">
        <v>3</v>
      </c>
      <c r="C415" s="15" t="s">
        <v>498</v>
      </c>
      <c r="D415" s="15">
        <v>4</v>
      </c>
      <c r="E415" s="15">
        <v>3</v>
      </c>
      <c r="F415" s="15">
        <v>2067</v>
      </c>
      <c r="G415" s="16">
        <v>33.549999999999997</v>
      </c>
      <c r="H415" s="15">
        <f t="shared" si="6"/>
        <v>62</v>
      </c>
      <c r="I415" s="15">
        <v>18</v>
      </c>
      <c r="J415" s="15" t="b">
        <v>0</v>
      </c>
      <c r="K415" s="15" t="b">
        <v>1</v>
      </c>
    </row>
    <row r="416" spans="1:11" x14ac:dyDescent="0.3">
      <c r="A416" s="15" t="s">
        <v>406</v>
      </c>
      <c r="B416" s="15">
        <v>3</v>
      </c>
      <c r="C416" s="15" t="s">
        <v>498</v>
      </c>
      <c r="D416" s="15">
        <v>5</v>
      </c>
      <c r="E416" s="15">
        <v>1</v>
      </c>
      <c r="F416" s="15">
        <v>2809</v>
      </c>
      <c r="G416" s="16">
        <v>33.549999999999997</v>
      </c>
      <c r="H416" s="15">
        <f t="shared" si="6"/>
        <v>84</v>
      </c>
      <c r="I416" s="15">
        <v>21</v>
      </c>
      <c r="J416" s="15" t="b">
        <v>0</v>
      </c>
      <c r="K416" s="15" t="b">
        <v>1</v>
      </c>
    </row>
    <row r="417" spans="1:12" x14ac:dyDescent="0.3">
      <c r="A417" s="15" t="s">
        <v>406</v>
      </c>
      <c r="B417" s="15">
        <v>3</v>
      </c>
      <c r="C417" s="15" t="s">
        <v>498</v>
      </c>
      <c r="D417" s="15">
        <v>5</v>
      </c>
      <c r="E417" s="15">
        <v>2</v>
      </c>
      <c r="F417" s="15">
        <v>2581</v>
      </c>
      <c r="G417" s="16">
        <v>33.549999999999997</v>
      </c>
      <c r="H417" s="15">
        <f t="shared" si="6"/>
        <v>77</v>
      </c>
      <c r="I417" s="15">
        <v>21</v>
      </c>
      <c r="J417" s="15" t="b">
        <v>0</v>
      </c>
      <c r="K417" s="15" t="b">
        <v>1</v>
      </c>
    </row>
    <row r="418" spans="1:12" x14ac:dyDescent="0.3">
      <c r="A418" s="15" t="s">
        <v>406</v>
      </c>
      <c r="B418" s="15">
        <v>3</v>
      </c>
      <c r="C418" s="15" t="s">
        <v>498</v>
      </c>
      <c r="D418" s="15">
        <v>5</v>
      </c>
      <c r="E418" s="15">
        <v>3</v>
      </c>
      <c r="F418" s="15">
        <v>2576</v>
      </c>
      <c r="G418" s="16">
        <v>33.549999999999997</v>
      </c>
      <c r="H418" s="15">
        <f t="shared" si="6"/>
        <v>77</v>
      </c>
      <c r="I418" s="15">
        <v>21</v>
      </c>
      <c r="J418" s="15" t="b">
        <v>0</v>
      </c>
      <c r="K418" s="15" t="b">
        <v>1</v>
      </c>
      <c r="L418" s="17"/>
    </row>
    <row r="419" spans="1:12" x14ac:dyDescent="0.3">
      <c r="A419" s="15" t="s">
        <v>406</v>
      </c>
      <c r="B419" s="15">
        <v>3</v>
      </c>
      <c r="C419" s="15" t="s">
        <v>499</v>
      </c>
      <c r="D419" s="15">
        <v>1</v>
      </c>
      <c r="E419" s="15">
        <v>1</v>
      </c>
      <c r="F419" s="15">
        <v>3664</v>
      </c>
      <c r="G419" s="16">
        <v>32.21</v>
      </c>
      <c r="H419" s="15">
        <f t="shared" si="6"/>
        <v>114</v>
      </c>
      <c r="I419" s="15">
        <v>18</v>
      </c>
      <c r="J419" s="15" t="b">
        <v>1</v>
      </c>
      <c r="K419" s="15" t="b">
        <v>1</v>
      </c>
    </row>
    <row r="420" spans="1:12" x14ac:dyDescent="0.3">
      <c r="A420" s="15" t="s">
        <v>406</v>
      </c>
      <c r="B420" s="15">
        <v>3</v>
      </c>
      <c r="C420" s="15" t="s">
        <v>499</v>
      </c>
      <c r="D420" s="15">
        <v>1</v>
      </c>
      <c r="E420" s="15">
        <v>2</v>
      </c>
      <c r="F420" s="15">
        <v>3559</v>
      </c>
      <c r="G420" s="16">
        <v>32.21</v>
      </c>
      <c r="H420" s="15">
        <f t="shared" si="6"/>
        <v>111</v>
      </c>
      <c r="I420" s="15">
        <v>18</v>
      </c>
      <c r="J420" s="15" t="b">
        <v>1</v>
      </c>
      <c r="K420" s="15" t="b">
        <v>1</v>
      </c>
    </row>
    <row r="421" spans="1:12" x14ac:dyDescent="0.3">
      <c r="A421" s="15" t="s">
        <v>406</v>
      </c>
      <c r="B421" s="15">
        <v>3</v>
      </c>
      <c r="C421" s="15" t="s">
        <v>499</v>
      </c>
      <c r="D421" s="15">
        <v>1</v>
      </c>
      <c r="E421" s="15">
        <v>3</v>
      </c>
      <c r="F421" s="15">
        <v>3493</v>
      </c>
      <c r="G421" s="16">
        <v>32.21</v>
      </c>
      <c r="H421" s="15">
        <f t="shared" si="6"/>
        <v>109</v>
      </c>
      <c r="I421" s="15">
        <v>18</v>
      </c>
      <c r="J421" s="15" t="b">
        <v>1</v>
      </c>
      <c r="K421" s="15" t="b">
        <v>1</v>
      </c>
    </row>
    <row r="422" spans="1:12" x14ac:dyDescent="0.3">
      <c r="A422" s="15" t="s">
        <v>406</v>
      </c>
      <c r="B422" s="15">
        <v>3</v>
      </c>
      <c r="C422" s="15" t="s">
        <v>499</v>
      </c>
      <c r="D422" s="15">
        <v>2</v>
      </c>
      <c r="E422" s="15">
        <v>1</v>
      </c>
      <c r="F422" s="15">
        <v>603</v>
      </c>
      <c r="G422" s="16">
        <v>32.21</v>
      </c>
      <c r="H422" s="15">
        <f t="shared" si="6"/>
        <v>19</v>
      </c>
      <c r="I422" s="15">
        <v>4</v>
      </c>
      <c r="J422" s="15" t="b">
        <v>1</v>
      </c>
      <c r="K422" s="15" t="b">
        <v>1</v>
      </c>
    </row>
    <row r="423" spans="1:12" x14ac:dyDescent="0.3">
      <c r="A423" s="15" t="s">
        <v>406</v>
      </c>
      <c r="B423" s="15">
        <v>3</v>
      </c>
      <c r="C423" s="15" t="s">
        <v>499</v>
      </c>
      <c r="D423" s="15">
        <v>2</v>
      </c>
      <c r="E423" s="15">
        <v>2</v>
      </c>
      <c r="F423" s="15">
        <v>595</v>
      </c>
      <c r="G423" s="16">
        <v>32.21</v>
      </c>
      <c r="H423" s="15">
        <f t="shared" si="6"/>
        <v>19</v>
      </c>
      <c r="I423" s="15">
        <v>4</v>
      </c>
      <c r="J423" s="15" t="b">
        <v>1</v>
      </c>
      <c r="K423" s="15" t="b">
        <v>1</v>
      </c>
    </row>
    <row r="424" spans="1:12" x14ac:dyDescent="0.3">
      <c r="A424" s="15" t="s">
        <v>406</v>
      </c>
      <c r="B424" s="15">
        <v>3</v>
      </c>
      <c r="C424" s="15" t="s">
        <v>499</v>
      </c>
      <c r="D424" s="15">
        <v>2</v>
      </c>
      <c r="E424" s="15">
        <v>3</v>
      </c>
      <c r="F424" s="15">
        <v>561</v>
      </c>
      <c r="G424" s="16">
        <v>32.21</v>
      </c>
      <c r="H424" s="15">
        <f t="shared" si="6"/>
        <v>18</v>
      </c>
      <c r="I424" s="15">
        <v>4</v>
      </c>
      <c r="J424" s="15" t="b">
        <v>1</v>
      </c>
      <c r="K424" s="15" t="b">
        <v>1</v>
      </c>
    </row>
    <row r="425" spans="1:12" x14ac:dyDescent="0.3">
      <c r="A425" s="15" t="s">
        <v>406</v>
      </c>
      <c r="B425" s="15">
        <v>3</v>
      </c>
      <c r="C425" s="15" t="s">
        <v>499</v>
      </c>
      <c r="D425" s="15">
        <v>3</v>
      </c>
      <c r="E425" s="15">
        <v>1</v>
      </c>
      <c r="F425" s="15">
        <v>1566</v>
      </c>
      <c r="G425" s="16">
        <v>32.21</v>
      </c>
      <c r="H425" s="15">
        <f t="shared" si="6"/>
        <v>49</v>
      </c>
      <c r="I425" s="15">
        <v>18</v>
      </c>
      <c r="J425" s="15" t="b">
        <v>1</v>
      </c>
      <c r="K425" s="15" t="b">
        <v>1</v>
      </c>
    </row>
    <row r="426" spans="1:12" x14ac:dyDescent="0.3">
      <c r="A426" s="15" t="s">
        <v>406</v>
      </c>
      <c r="B426" s="15">
        <v>3</v>
      </c>
      <c r="C426" s="15" t="s">
        <v>499</v>
      </c>
      <c r="D426" s="15">
        <v>3</v>
      </c>
      <c r="E426" s="15">
        <v>2</v>
      </c>
      <c r="F426" s="15">
        <v>1716</v>
      </c>
      <c r="G426" s="16">
        <v>32.21</v>
      </c>
      <c r="H426" s="15">
        <f t="shared" si="6"/>
        <v>54</v>
      </c>
      <c r="I426" s="15">
        <v>18</v>
      </c>
      <c r="J426" s="15" t="b">
        <v>1</v>
      </c>
      <c r="K426" s="15" t="b">
        <v>1</v>
      </c>
    </row>
    <row r="427" spans="1:12" x14ac:dyDescent="0.3">
      <c r="A427" s="15" t="s">
        <v>406</v>
      </c>
      <c r="B427" s="15">
        <v>3</v>
      </c>
      <c r="C427" s="15" t="s">
        <v>499</v>
      </c>
      <c r="D427" s="15">
        <v>3</v>
      </c>
      <c r="E427" s="15">
        <v>3</v>
      </c>
      <c r="F427" s="15">
        <v>1549</v>
      </c>
      <c r="G427" s="16">
        <v>32.21</v>
      </c>
      <c r="H427" s="15">
        <f t="shared" si="6"/>
        <v>49</v>
      </c>
      <c r="I427" s="15">
        <v>18</v>
      </c>
      <c r="J427" s="15" t="b">
        <v>1</v>
      </c>
      <c r="K427" s="15" t="b">
        <v>1</v>
      </c>
    </row>
    <row r="428" spans="1:12" x14ac:dyDescent="0.3">
      <c r="A428" s="15" t="s">
        <v>406</v>
      </c>
      <c r="B428" s="15">
        <v>3</v>
      </c>
      <c r="C428" s="15" t="s">
        <v>499</v>
      </c>
      <c r="D428" s="15">
        <v>4</v>
      </c>
      <c r="E428" s="15">
        <v>1</v>
      </c>
      <c r="F428" s="15">
        <v>4763</v>
      </c>
      <c r="G428" s="16">
        <v>32.21</v>
      </c>
      <c r="H428" s="15">
        <f t="shared" si="6"/>
        <v>148</v>
      </c>
      <c r="I428" s="15">
        <v>44</v>
      </c>
      <c r="J428" s="15" t="b">
        <v>0</v>
      </c>
      <c r="K428" s="15" t="b">
        <v>1</v>
      </c>
    </row>
    <row r="429" spans="1:12" x14ac:dyDescent="0.3">
      <c r="A429" s="15" t="s">
        <v>406</v>
      </c>
      <c r="B429" s="15">
        <v>3</v>
      </c>
      <c r="C429" s="15" t="s">
        <v>499</v>
      </c>
      <c r="D429" s="15">
        <v>4</v>
      </c>
      <c r="E429" s="15">
        <v>2</v>
      </c>
      <c r="F429" s="15">
        <v>5001</v>
      </c>
      <c r="G429" s="16">
        <v>32.21</v>
      </c>
      <c r="H429" s="15">
        <f t="shared" si="6"/>
        <v>156</v>
      </c>
      <c r="I429" s="15">
        <v>44</v>
      </c>
      <c r="J429" s="15" t="b">
        <v>0</v>
      </c>
      <c r="K429" s="15" t="b">
        <v>1</v>
      </c>
    </row>
    <row r="430" spans="1:12" x14ac:dyDescent="0.3">
      <c r="A430" s="15" t="s">
        <v>406</v>
      </c>
      <c r="B430" s="15">
        <v>3</v>
      </c>
      <c r="C430" s="15" t="s">
        <v>499</v>
      </c>
      <c r="D430" s="15">
        <v>4</v>
      </c>
      <c r="E430" s="15">
        <v>3</v>
      </c>
      <c r="F430" s="15">
        <v>4815</v>
      </c>
      <c r="G430" s="16">
        <v>32.21</v>
      </c>
      <c r="H430" s="15">
        <f t="shared" si="6"/>
        <v>150</v>
      </c>
      <c r="I430" s="15">
        <v>44</v>
      </c>
      <c r="J430" s="15" t="b">
        <v>0</v>
      </c>
      <c r="K430" s="15" t="b">
        <v>1</v>
      </c>
    </row>
    <row r="431" spans="1:12" x14ac:dyDescent="0.3">
      <c r="A431" s="15" t="s">
        <v>406</v>
      </c>
      <c r="B431" s="15">
        <v>3</v>
      </c>
      <c r="C431" s="15" t="s">
        <v>499</v>
      </c>
      <c r="D431" s="15">
        <v>5</v>
      </c>
      <c r="E431" s="15">
        <v>1</v>
      </c>
      <c r="F431" s="15">
        <v>7837</v>
      </c>
      <c r="G431" s="16">
        <v>32.21</v>
      </c>
      <c r="H431" s="15">
        <f t="shared" si="6"/>
        <v>244</v>
      </c>
      <c r="I431" s="15">
        <v>47</v>
      </c>
      <c r="J431" s="15" t="b">
        <v>0</v>
      </c>
      <c r="K431" s="15" t="b">
        <v>1</v>
      </c>
    </row>
    <row r="432" spans="1:12" x14ac:dyDescent="0.3">
      <c r="A432" s="15" t="s">
        <v>406</v>
      </c>
      <c r="B432" s="15">
        <v>3</v>
      </c>
      <c r="C432" s="15" t="s">
        <v>499</v>
      </c>
      <c r="D432" s="15">
        <v>5</v>
      </c>
      <c r="E432" s="15">
        <v>2</v>
      </c>
      <c r="F432" s="15">
        <v>7511</v>
      </c>
      <c r="G432" s="16">
        <v>32.21</v>
      </c>
      <c r="H432" s="15">
        <f t="shared" si="6"/>
        <v>234</v>
      </c>
      <c r="I432" s="15">
        <v>47</v>
      </c>
      <c r="J432" s="15" t="b">
        <v>0</v>
      </c>
      <c r="K432" s="15" t="b">
        <v>1</v>
      </c>
    </row>
    <row r="433" spans="1:11" x14ac:dyDescent="0.3">
      <c r="A433" s="15" t="s">
        <v>406</v>
      </c>
      <c r="B433" s="15">
        <v>3</v>
      </c>
      <c r="C433" s="15" t="s">
        <v>499</v>
      </c>
      <c r="D433" s="15">
        <v>5</v>
      </c>
      <c r="E433" s="15">
        <v>3</v>
      </c>
      <c r="F433" s="15">
        <v>7386</v>
      </c>
      <c r="G433" s="16">
        <v>32.21</v>
      </c>
      <c r="H433" s="15">
        <f t="shared" si="6"/>
        <v>230</v>
      </c>
      <c r="I433" s="15">
        <v>47</v>
      </c>
      <c r="J433" s="15" t="b">
        <v>0</v>
      </c>
      <c r="K433" s="15" t="b">
        <v>1</v>
      </c>
    </row>
    <row r="434" spans="1:11" x14ac:dyDescent="0.3">
      <c r="A434" s="15" t="s">
        <v>406</v>
      </c>
      <c r="B434" s="15">
        <v>3</v>
      </c>
      <c r="C434" s="15" t="s">
        <v>500</v>
      </c>
      <c r="D434" s="15">
        <v>1</v>
      </c>
      <c r="E434" s="15">
        <v>1</v>
      </c>
      <c r="F434" s="15">
        <v>3879</v>
      </c>
      <c r="G434" s="16">
        <v>33.409999999999997</v>
      </c>
      <c r="H434" s="15">
        <f t="shared" si="6"/>
        <v>117</v>
      </c>
      <c r="I434" s="15">
        <v>23</v>
      </c>
      <c r="J434" s="15" t="b">
        <v>1</v>
      </c>
      <c r="K434" s="15" t="b">
        <v>1</v>
      </c>
    </row>
    <row r="435" spans="1:11" x14ac:dyDescent="0.3">
      <c r="A435" s="15" t="s">
        <v>406</v>
      </c>
      <c r="B435" s="15">
        <v>3</v>
      </c>
      <c r="C435" s="15" t="s">
        <v>500</v>
      </c>
      <c r="D435" s="15">
        <v>1</v>
      </c>
      <c r="E435" s="15">
        <v>2</v>
      </c>
      <c r="F435" s="15">
        <v>3827</v>
      </c>
      <c r="G435" s="16">
        <v>33.409999999999997</v>
      </c>
      <c r="H435" s="15">
        <f t="shared" si="6"/>
        <v>115</v>
      </c>
      <c r="I435" s="15">
        <v>23</v>
      </c>
      <c r="J435" s="15" t="b">
        <v>1</v>
      </c>
      <c r="K435" s="15" t="b">
        <v>1</v>
      </c>
    </row>
    <row r="436" spans="1:11" x14ac:dyDescent="0.3">
      <c r="A436" s="15" t="s">
        <v>406</v>
      </c>
      <c r="B436" s="15">
        <v>3</v>
      </c>
      <c r="C436" s="15" t="s">
        <v>500</v>
      </c>
      <c r="D436" s="15">
        <v>1</v>
      </c>
      <c r="E436" s="15">
        <v>3</v>
      </c>
      <c r="F436" s="15">
        <v>3605</v>
      </c>
      <c r="G436" s="16">
        <v>33.409999999999997</v>
      </c>
      <c r="H436" s="15">
        <f t="shared" si="6"/>
        <v>108</v>
      </c>
      <c r="I436" s="15">
        <v>23</v>
      </c>
      <c r="J436" s="15" t="b">
        <v>1</v>
      </c>
      <c r="K436" s="15" t="b">
        <v>1</v>
      </c>
    </row>
    <row r="437" spans="1:11" x14ac:dyDescent="0.3">
      <c r="A437" s="15" t="s">
        <v>406</v>
      </c>
      <c r="B437" s="15">
        <v>3</v>
      </c>
      <c r="C437" s="15" t="s">
        <v>500</v>
      </c>
      <c r="D437" s="15">
        <v>2</v>
      </c>
      <c r="E437" s="15">
        <v>1</v>
      </c>
      <c r="F437" s="15">
        <v>2837</v>
      </c>
      <c r="G437" s="16">
        <v>33.409999999999997</v>
      </c>
      <c r="H437" s="15">
        <f t="shared" si="6"/>
        <v>85</v>
      </c>
      <c r="I437" s="15">
        <v>13</v>
      </c>
      <c r="J437" s="15" t="b">
        <v>1</v>
      </c>
      <c r="K437" s="15" t="b">
        <v>1</v>
      </c>
    </row>
    <row r="438" spans="1:11" x14ac:dyDescent="0.3">
      <c r="A438" s="15" t="s">
        <v>406</v>
      </c>
      <c r="B438" s="15">
        <v>3</v>
      </c>
      <c r="C438" s="15" t="s">
        <v>500</v>
      </c>
      <c r="D438" s="15">
        <v>2</v>
      </c>
      <c r="E438" s="15">
        <v>2</v>
      </c>
      <c r="F438" s="15">
        <v>2653</v>
      </c>
      <c r="G438" s="16">
        <v>33.409999999999997</v>
      </c>
      <c r="H438" s="15">
        <f t="shared" si="6"/>
        <v>80</v>
      </c>
      <c r="I438" s="15">
        <v>13</v>
      </c>
      <c r="J438" s="15" t="b">
        <v>1</v>
      </c>
      <c r="K438" s="15" t="b">
        <v>1</v>
      </c>
    </row>
    <row r="439" spans="1:11" x14ac:dyDescent="0.3">
      <c r="A439" s="15" t="s">
        <v>406</v>
      </c>
      <c r="B439" s="15">
        <v>3</v>
      </c>
      <c r="C439" s="15" t="s">
        <v>500</v>
      </c>
      <c r="D439" s="15">
        <v>2</v>
      </c>
      <c r="E439" s="15">
        <v>3</v>
      </c>
      <c r="F439" s="15">
        <v>2547</v>
      </c>
      <c r="G439" s="16">
        <v>33.409999999999997</v>
      </c>
      <c r="H439" s="15">
        <f t="shared" si="6"/>
        <v>77</v>
      </c>
      <c r="I439" s="15">
        <v>13</v>
      </c>
      <c r="J439" s="15" t="b">
        <v>1</v>
      </c>
      <c r="K439" s="15" t="b">
        <v>1</v>
      </c>
    </row>
    <row r="440" spans="1:11" x14ac:dyDescent="0.3">
      <c r="A440" s="15" t="s">
        <v>406</v>
      </c>
      <c r="B440" s="15">
        <v>3</v>
      </c>
      <c r="C440" s="15" t="s">
        <v>500</v>
      </c>
      <c r="D440" s="15">
        <v>3</v>
      </c>
      <c r="E440" s="15">
        <v>1</v>
      </c>
      <c r="F440" s="15">
        <v>1863</v>
      </c>
      <c r="G440" s="16">
        <v>33.409999999999997</v>
      </c>
      <c r="H440" s="15">
        <f t="shared" si="6"/>
        <v>56</v>
      </c>
      <c r="I440" s="15">
        <v>14</v>
      </c>
      <c r="J440" s="15" t="b">
        <v>1</v>
      </c>
      <c r="K440" s="15" t="b">
        <v>1</v>
      </c>
    </row>
    <row r="441" spans="1:11" x14ac:dyDescent="0.3">
      <c r="A441" s="15" t="s">
        <v>406</v>
      </c>
      <c r="B441" s="15">
        <v>3</v>
      </c>
      <c r="C441" s="15" t="s">
        <v>500</v>
      </c>
      <c r="D441" s="15">
        <v>3</v>
      </c>
      <c r="E441" s="15">
        <v>2</v>
      </c>
      <c r="F441" s="15">
        <v>1963</v>
      </c>
      <c r="G441" s="16">
        <v>33.409999999999997</v>
      </c>
      <c r="H441" s="15">
        <f t="shared" si="6"/>
        <v>59</v>
      </c>
      <c r="I441" s="15">
        <v>14</v>
      </c>
      <c r="J441" s="15" t="b">
        <v>1</v>
      </c>
      <c r="K441" s="15" t="b">
        <v>1</v>
      </c>
    </row>
    <row r="442" spans="1:11" x14ac:dyDescent="0.3">
      <c r="A442" s="15" t="s">
        <v>406</v>
      </c>
      <c r="B442" s="15">
        <v>3</v>
      </c>
      <c r="C442" s="15" t="s">
        <v>500</v>
      </c>
      <c r="D442" s="15">
        <v>3</v>
      </c>
      <c r="E442" s="15">
        <v>3</v>
      </c>
      <c r="F442" s="15">
        <v>1909</v>
      </c>
      <c r="G442" s="16">
        <v>33.409999999999997</v>
      </c>
      <c r="H442" s="15">
        <f t="shared" si="6"/>
        <v>58</v>
      </c>
      <c r="I442" s="15">
        <v>14</v>
      </c>
      <c r="J442" s="15" t="b">
        <v>1</v>
      </c>
      <c r="K442" s="15" t="b">
        <v>1</v>
      </c>
    </row>
    <row r="443" spans="1:11" x14ac:dyDescent="0.3">
      <c r="A443" s="15" t="s">
        <v>406</v>
      </c>
      <c r="B443" s="15">
        <v>3</v>
      </c>
      <c r="C443" s="15" t="s">
        <v>500</v>
      </c>
      <c r="D443" s="15">
        <v>4</v>
      </c>
      <c r="E443" s="15">
        <v>1</v>
      </c>
      <c r="F443" s="15">
        <v>2494</v>
      </c>
      <c r="G443" s="16">
        <v>33.409999999999997</v>
      </c>
      <c r="H443" s="15">
        <f t="shared" si="6"/>
        <v>75</v>
      </c>
      <c r="I443" s="15">
        <v>22</v>
      </c>
      <c r="J443" s="15" t="b">
        <v>0</v>
      </c>
      <c r="K443" s="15" t="b">
        <v>1</v>
      </c>
    </row>
    <row r="444" spans="1:11" x14ac:dyDescent="0.3">
      <c r="A444" s="15" t="s">
        <v>406</v>
      </c>
      <c r="B444" s="15">
        <v>3</v>
      </c>
      <c r="C444" s="15" t="s">
        <v>500</v>
      </c>
      <c r="D444" s="15">
        <v>4</v>
      </c>
      <c r="E444" s="15">
        <v>2</v>
      </c>
      <c r="F444" s="15">
        <v>2532</v>
      </c>
      <c r="G444" s="16">
        <v>33.409999999999997</v>
      </c>
      <c r="H444" s="15">
        <f t="shared" si="6"/>
        <v>76</v>
      </c>
      <c r="I444" s="15">
        <v>22</v>
      </c>
      <c r="J444" s="15" t="b">
        <v>0</v>
      </c>
      <c r="K444" s="15" t="b">
        <v>1</v>
      </c>
    </row>
    <row r="445" spans="1:11" x14ac:dyDescent="0.3">
      <c r="A445" s="15" t="s">
        <v>406</v>
      </c>
      <c r="B445" s="15">
        <v>3</v>
      </c>
      <c r="C445" s="15" t="s">
        <v>500</v>
      </c>
      <c r="D445" s="15">
        <v>4</v>
      </c>
      <c r="E445" s="15">
        <v>3</v>
      </c>
      <c r="F445" s="15">
        <v>2339</v>
      </c>
      <c r="G445" s="16">
        <v>33.409999999999997</v>
      </c>
      <c r="H445" s="15">
        <f t="shared" si="6"/>
        <v>71</v>
      </c>
      <c r="I445" s="15">
        <v>22</v>
      </c>
      <c r="J445" s="15" t="b">
        <v>0</v>
      </c>
      <c r="K445" s="15" t="b">
        <v>1</v>
      </c>
    </row>
    <row r="446" spans="1:11" x14ac:dyDescent="0.3">
      <c r="A446" s="15" t="s">
        <v>406</v>
      </c>
      <c r="B446" s="15">
        <v>3</v>
      </c>
      <c r="C446" s="15" t="s">
        <v>500</v>
      </c>
      <c r="D446" s="15">
        <v>5</v>
      </c>
      <c r="E446" s="15">
        <v>1</v>
      </c>
      <c r="F446" s="15">
        <v>4112</v>
      </c>
      <c r="G446" s="16">
        <v>33.409999999999997</v>
      </c>
      <c r="H446" s="15">
        <f t="shared" si="6"/>
        <v>124</v>
      </c>
      <c r="I446" s="15">
        <v>24</v>
      </c>
      <c r="J446" s="15" t="b">
        <v>0</v>
      </c>
      <c r="K446" s="15" t="b">
        <v>1</v>
      </c>
    </row>
    <row r="447" spans="1:11" x14ac:dyDescent="0.3">
      <c r="A447" s="15" t="s">
        <v>406</v>
      </c>
      <c r="B447" s="15">
        <v>3</v>
      </c>
      <c r="C447" s="15" t="s">
        <v>500</v>
      </c>
      <c r="D447" s="15">
        <v>5</v>
      </c>
      <c r="E447" s="15">
        <v>2</v>
      </c>
      <c r="F447" s="15">
        <v>3834</v>
      </c>
      <c r="G447" s="16">
        <v>33.409999999999997</v>
      </c>
      <c r="H447" s="15">
        <f t="shared" si="6"/>
        <v>115</v>
      </c>
      <c r="I447" s="15">
        <v>24</v>
      </c>
      <c r="J447" s="15" t="b">
        <v>0</v>
      </c>
      <c r="K447" s="15" t="b">
        <v>1</v>
      </c>
    </row>
    <row r="448" spans="1:11" x14ac:dyDescent="0.3">
      <c r="A448" s="15" t="s">
        <v>406</v>
      </c>
      <c r="B448" s="15">
        <v>3</v>
      </c>
      <c r="C448" s="15" t="s">
        <v>500</v>
      </c>
      <c r="D448" s="15">
        <v>5</v>
      </c>
      <c r="E448" s="15">
        <v>3</v>
      </c>
      <c r="F448" s="15">
        <v>3658</v>
      </c>
      <c r="G448" s="16">
        <v>33.409999999999997</v>
      </c>
      <c r="H448" s="15">
        <f t="shared" si="6"/>
        <v>110</v>
      </c>
      <c r="I448" s="15">
        <v>24</v>
      </c>
      <c r="J448" s="15" t="b">
        <v>0</v>
      </c>
      <c r="K448" s="15" t="b">
        <v>1</v>
      </c>
    </row>
    <row r="449" spans="1:11" x14ac:dyDescent="0.3">
      <c r="A449" s="15" t="s">
        <v>501</v>
      </c>
      <c r="B449" s="15">
        <v>4</v>
      </c>
      <c r="C449" s="15" t="s">
        <v>502</v>
      </c>
      <c r="D449" s="15">
        <v>1</v>
      </c>
      <c r="E449" s="15">
        <v>1</v>
      </c>
      <c r="F449" s="15">
        <v>206</v>
      </c>
      <c r="G449" s="16">
        <v>31.8</v>
      </c>
      <c r="H449" s="15">
        <f t="shared" si="6"/>
        <v>7</v>
      </c>
      <c r="I449" s="15">
        <v>5</v>
      </c>
      <c r="J449" s="15" t="b">
        <v>1</v>
      </c>
      <c r="K449" s="15" t="b">
        <v>1</v>
      </c>
    </row>
    <row r="450" spans="1:11" x14ac:dyDescent="0.3">
      <c r="A450" s="15" t="s">
        <v>501</v>
      </c>
      <c r="B450" s="15">
        <v>4</v>
      </c>
      <c r="C450" s="15" t="s">
        <v>502</v>
      </c>
      <c r="D450" s="15">
        <v>1</v>
      </c>
      <c r="E450" s="15">
        <v>2</v>
      </c>
      <c r="F450" s="15">
        <v>182</v>
      </c>
      <c r="G450" s="16">
        <v>31.8</v>
      </c>
      <c r="H450" s="15">
        <f t="shared" si="6"/>
        <v>6</v>
      </c>
      <c r="I450" s="15">
        <v>5</v>
      </c>
      <c r="J450" s="15" t="b">
        <v>1</v>
      </c>
      <c r="K450" s="15" t="b">
        <v>1</v>
      </c>
    </row>
    <row r="451" spans="1:11" x14ac:dyDescent="0.3">
      <c r="A451" s="15" t="s">
        <v>501</v>
      </c>
      <c r="B451" s="15">
        <v>4</v>
      </c>
      <c r="C451" s="15" t="s">
        <v>502</v>
      </c>
      <c r="D451" s="15">
        <v>1</v>
      </c>
      <c r="E451" s="15">
        <v>3</v>
      </c>
      <c r="F451" s="15">
        <v>208</v>
      </c>
      <c r="G451" s="16">
        <v>31.8</v>
      </c>
      <c r="H451" s="15">
        <f t="shared" ref="H451:H514" si="7">ROUNDUP(F451/G451,0)</f>
        <v>7</v>
      </c>
      <c r="I451" s="15">
        <v>5</v>
      </c>
      <c r="J451" s="15" t="b">
        <v>1</v>
      </c>
      <c r="K451" s="15" t="b">
        <v>1</v>
      </c>
    </row>
    <row r="452" spans="1:11" x14ac:dyDescent="0.3">
      <c r="A452" s="15" t="s">
        <v>501</v>
      </c>
      <c r="B452" s="15">
        <v>4</v>
      </c>
      <c r="C452" s="15" t="s">
        <v>502</v>
      </c>
      <c r="D452" s="15">
        <v>2</v>
      </c>
      <c r="E452" s="15">
        <v>1</v>
      </c>
      <c r="F452" s="15">
        <v>2119</v>
      </c>
      <c r="G452" s="16">
        <v>31.8</v>
      </c>
      <c r="H452" s="15">
        <f t="shared" si="7"/>
        <v>67</v>
      </c>
      <c r="I452" s="15">
        <v>32</v>
      </c>
      <c r="J452" s="15" t="b">
        <v>1</v>
      </c>
      <c r="K452" s="15" t="b">
        <v>1</v>
      </c>
    </row>
    <row r="453" spans="1:11" x14ac:dyDescent="0.3">
      <c r="A453" s="15" t="s">
        <v>501</v>
      </c>
      <c r="B453" s="15">
        <v>4</v>
      </c>
      <c r="C453" s="15" t="s">
        <v>502</v>
      </c>
      <c r="D453" s="15">
        <v>2</v>
      </c>
      <c r="E453" s="15">
        <v>2</v>
      </c>
      <c r="F453" s="15">
        <v>1947</v>
      </c>
      <c r="G453" s="16">
        <v>31.8</v>
      </c>
      <c r="H453" s="15">
        <f t="shared" si="7"/>
        <v>62</v>
      </c>
      <c r="I453" s="15">
        <v>32</v>
      </c>
      <c r="J453" s="15" t="b">
        <v>1</v>
      </c>
      <c r="K453" s="15" t="b">
        <v>1</v>
      </c>
    </row>
    <row r="454" spans="1:11" x14ac:dyDescent="0.3">
      <c r="A454" s="15" t="s">
        <v>501</v>
      </c>
      <c r="B454" s="15">
        <v>4</v>
      </c>
      <c r="C454" s="15" t="s">
        <v>502</v>
      </c>
      <c r="D454" s="15">
        <v>2</v>
      </c>
      <c r="E454" s="15">
        <v>3</v>
      </c>
      <c r="F454" s="15">
        <v>1876</v>
      </c>
      <c r="G454" s="16">
        <v>31.8</v>
      </c>
      <c r="H454" s="15">
        <f t="shared" si="7"/>
        <v>59</v>
      </c>
      <c r="I454" s="15">
        <v>32</v>
      </c>
      <c r="J454" s="15" t="b">
        <v>1</v>
      </c>
      <c r="K454" s="15" t="b">
        <v>1</v>
      </c>
    </row>
    <row r="455" spans="1:11" x14ac:dyDescent="0.3">
      <c r="A455" s="15" t="s">
        <v>501</v>
      </c>
      <c r="B455" s="15">
        <v>4</v>
      </c>
      <c r="C455" s="15" t="s">
        <v>502</v>
      </c>
      <c r="D455" s="15">
        <v>3</v>
      </c>
      <c r="E455" s="15">
        <v>1</v>
      </c>
      <c r="F455" s="15">
        <v>6722</v>
      </c>
      <c r="G455" s="16">
        <v>31.8</v>
      </c>
      <c r="H455" s="15">
        <f t="shared" si="7"/>
        <v>212</v>
      </c>
      <c r="I455" s="15">
        <v>59</v>
      </c>
      <c r="J455" s="15" t="b">
        <v>1</v>
      </c>
      <c r="K455" s="15" t="b">
        <v>1</v>
      </c>
    </row>
    <row r="456" spans="1:11" x14ac:dyDescent="0.3">
      <c r="A456" s="15" t="s">
        <v>501</v>
      </c>
      <c r="B456" s="15">
        <v>4</v>
      </c>
      <c r="C456" s="15" t="s">
        <v>502</v>
      </c>
      <c r="D456" s="15">
        <v>3</v>
      </c>
      <c r="E456" s="15">
        <v>2</v>
      </c>
      <c r="F456" s="15">
        <v>6276</v>
      </c>
      <c r="G456" s="16">
        <v>31.8</v>
      </c>
      <c r="H456" s="15">
        <f t="shared" si="7"/>
        <v>198</v>
      </c>
      <c r="I456" s="15">
        <v>59</v>
      </c>
      <c r="J456" s="15" t="b">
        <v>1</v>
      </c>
      <c r="K456" s="15" t="b">
        <v>1</v>
      </c>
    </row>
    <row r="457" spans="1:11" x14ac:dyDescent="0.3">
      <c r="A457" s="15" t="s">
        <v>501</v>
      </c>
      <c r="B457" s="15">
        <v>4</v>
      </c>
      <c r="C457" s="15" t="s">
        <v>502</v>
      </c>
      <c r="D457" s="15">
        <v>3</v>
      </c>
      <c r="E457" s="15">
        <v>3</v>
      </c>
      <c r="F457" s="15">
        <v>6284</v>
      </c>
      <c r="G457" s="16">
        <v>31.8</v>
      </c>
      <c r="H457" s="15">
        <f t="shared" si="7"/>
        <v>198</v>
      </c>
      <c r="I457" s="15">
        <v>59</v>
      </c>
      <c r="J457" s="15" t="b">
        <v>1</v>
      </c>
      <c r="K457" s="15" t="b">
        <v>1</v>
      </c>
    </row>
    <row r="458" spans="1:11" x14ac:dyDescent="0.3">
      <c r="A458" s="15" t="s">
        <v>501</v>
      </c>
      <c r="B458" s="15">
        <v>4</v>
      </c>
      <c r="C458" s="15" t="s">
        <v>502</v>
      </c>
      <c r="D458" s="15">
        <v>4</v>
      </c>
      <c r="E458" s="15">
        <v>1</v>
      </c>
      <c r="F458" s="15">
        <v>1243</v>
      </c>
      <c r="G458" s="16">
        <v>31.8</v>
      </c>
      <c r="H458" s="15">
        <f t="shared" si="7"/>
        <v>40</v>
      </c>
      <c r="I458" s="15">
        <v>17</v>
      </c>
      <c r="J458" s="15" t="b">
        <v>0</v>
      </c>
      <c r="K458" s="15" t="b">
        <v>1</v>
      </c>
    </row>
    <row r="459" spans="1:11" x14ac:dyDescent="0.3">
      <c r="A459" s="15" t="s">
        <v>501</v>
      </c>
      <c r="B459" s="15">
        <v>4</v>
      </c>
      <c r="C459" s="15" t="s">
        <v>502</v>
      </c>
      <c r="D459" s="15">
        <v>4</v>
      </c>
      <c r="E459" s="15">
        <v>2</v>
      </c>
      <c r="F459" s="15">
        <v>1271</v>
      </c>
      <c r="G459" s="16">
        <v>31.8</v>
      </c>
      <c r="H459" s="15">
        <f t="shared" si="7"/>
        <v>40</v>
      </c>
      <c r="I459" s="15">
        <v>17</v>
      </c>
      <c r="J459" s="15" t="b">
        <v>0</v>
      </c>
      <c r="K459" s="15" t="b">
        <v>1</v>
      </c>
    </row>
    <row r="460" spans="1:11" x14ac:dyDescent="0.3">
      <c r="A460" s="15" t="s">
        <v>501</v>
      </c>
      <c r="B460" s="15">
        <v>4</v>
      </c>
      <c r="C460" s="15" t="s">
        <v>502</v>
      </c>
      <c r="D460" s="15">
        <v>4</v>
      </c>
      <c r="E460" s="15">
        <v>3</v>
      </c>
      <c r="F460" s="15">
        <v>1301</v>
      </c>
      <c r="G460" s="16">
        <v>31.8</v>
      </c>
      <c r="H460" s="15">
        <f t="shared" si="7"/>
        <v>41</v>
      </c>
      <c r="I460" s="15">
        <v>17</v>
      </c>
      <c r="J460" s="15" t="b">
        <v>0</v>
      </c>
      <c r="K460" s="15" t="b">
        <v>1</v>
      </c>
    </row>
    <row r="461" spans="1:11" x14ac:dyDescent="0.3">
      <c r="A461" s="15" t="s">
        <v>501</v>
      </c>
      <c r="B461" s="15">
        <v>4</v>
      </c>
      <c r="C461" s="15" t="s">
        <v>502</v>
      </c>
      <c r="D461" s="15">
        <v>5</v>
      </c>
      <c r="E461" s="15">
        <v>1</v>
      </c>
      <c r="F461" s="15">
        <v>948</v>
      </c>
      <c r="G461" s="16">
        <v>31.8</v>
      </c>
      <c r="H461" s="15">
        <f t="shared" si="7"/>
        <v>30</v>
      </c>
      <c r="I461" s="15">
        <v>10</v>
      </c>
      <c r="J461" s="15" t="b">
        <v>0</v>
      </c>
      <c r="K461" s="15" t="b">
        <v>1</v>
      </c>
    </row>
    <row r="462" spans="1:11" x14ac:dyDescent="0.3">
      <c r="A462" s="15" t="s">
        <v>501</v>
      </c>
      <c r="B462" s="15">
        <v>4</v>
      </c>
      <c r="C462" s="15" t="s">
        <v>502</v>
      </c>
      <c r="D462" s="15">
        <v>5</v>
      </c>
      <c r="E462" s="15">
        <v>2</v>
      </c>
      <c r="F462" s="15">
        <v>936</v>
      </c>
      <c r="G462" s="16">
        <v>31.8</v>
      </c>
      <c r="H462" s="15">
        <f t="shared" si="7"/>
        <v>30</v>
      </c>
      <c r="I462" s="15">
        <v>10</v>
      </c>
      <c r="J462" s="15" t="b">
        <v>0</v>
      </c>
      <c r="K462" s="15" t="b">
        <v>1</v>
      </c>
    </row>
    <row r="463" spans="1:11" x14ac:dyDescent="0.3">
      <c r="A463" s="15" t="s">
        <v>501</v>
      </c>
      <c r="B463" s="15">
        <v>4</v>
      </c>
      <c r="C463" s="15" t="s">
        <v>502</v>
      </c>
      <c r="D463" s="15">
        <v>5</v>
      </c>
      <c r="E463" s="15">
        <v>3</v>
      </c>
      <c r="F463" s="15">
        <v>995</v>
      </c>
      <c r="G463" s="16">
        <v>31.8</v>
      </c>
      <c r="H463" s="15">
        <f t="shared" si="7"/>
        <v>32</v>
      </c>
      <c r="I463" s="15">
        <v>10</v>
      </c>
      <c r="J463" s="15" t="b">
        <v>0</v>
      </c>
      <c r="K463" s="15" t="b">
        <v>1</v>
      </c>
    </row>
    <row r="464" spans="1:11" x14ac:dyDescent="0.3">
      <c r="A464" s="15" t="s">
        <v>501</v>
      </c>
      <c r="B464" s="15">
        <v>4</v>
      </c>
      <c r="C464" s="15" t="s">
        <v>503</v>
      </c>
      <c r="D464" s="15">
        <v>1</v>
      </c>
      <c r="E464" s="15">
        <v>1</v>
      </c>
      <c r="F464" s="15">
        <v>3667</v>
      </c>
      <c r="G464" s="16">
        <v>30.57</v>
      </c>
      <c r="H464" s="15">
        <f t="shared" si="7"/>
        <v>120</v>
      </c>
      <c r="I464" s="15">
        <v>68</v>
      </c>
      <c r="J464" s="15" t="b">
        <v>1</v>
      </c>
      <c r="K464" s="15" t="b">
        <v>1</v>
      </c>
    </row>
    <row r="465" spans="1:11" x14ac:dyDescent="0.3">
      <c r="A465" s="15" t="s">
        <v>501</v>
      </c>
      <c r="B465" s="15">
        <v>4</v>
      </c>
      <c r="C465" s="15" t="s">
        <v>503</v>
      </c>
      <c r="D465" s="15">
        <v>1</v>
      </c>
      <c r="E465" s="15">
        <v>2</v>
      </c>
      <c r="F465" s="15">
        <v>3161</v>
      </c>
      <c r="G465" s="16">
        <v>30.57</v>
      </c>
      <c r="H465" s="15">
        <f t="shared" si="7"/>
        <v>104</v>
      </c>
      <c r="I465" s="15">
        <v>68</v>
      </c>
      <c r="J465" s="15" t="b">
        <v>1</v>
      </c>
      <c r="K465" s="15" t="b">
        <v>1</v>
      </c>
    </row>
    <row r="466" spans="1:11" x14ac:dyDescent="0.3">
      <c r="A466" s="15" t="s">
        <v>501</v>
      </c>
      <c r="B466" s="15">
        <v>4</v>
      </c>
      <c r="C466" s="15" t="s">
        <v>503</v>
      </c>
      <c r="D466" s="15">
        <v>1</v>
      </c>
      <c r="E466" s="15">
        <v>3</v>
      </c>
      <c r="F466" s="15">
        <v>3141</v>
      </c>
      <c r="G466" s="16">
        <v>30.57</v>
      </c>
      <c r="H466" s="15">
        <f t="shared" si="7"/>
        <v>103</v>
      </c>
      <c r="I466" s="15">
        <v>68</v>
      </c>
      <c r="J466" s="15" t="b">
        <v>1</v>
      </c>
      <c r="K466" s="15" t="b">
        <v>1</v>
      </c>
    </row>
    <row r="467" spans="1:11" x14ac:dyDescent="0.3">
      <c r="A467" s="15" t="s">
        <v>501</v>
      </c>
      <c r="B467" s="15">
        <v>4</v>
      </c>
      <c r="C467" s="15" t="s">
        <v>503</v>
      </c>
      <c r="D467" s="15">
        <v>2</v>
      </c>
      <c r="E467" s="15">
        <v>1</v>
      </c>
      <c r="F467" s="15">
        <v>5178</v>
      </c>
      <c r="G467" s="16">
        <v>30.57</v>
      </c>
      <c r="H467" s="15">
        <f t="shared" si="7"/>
        <v>170</v>
      </c>
      <c r="I467" s="15">
        <v>96</v>
      </c>
      <c r="J467" s="15" t="b">
        <v>1</v>
      </c>
      <c r="K467" s="15" t="b">
        <v>1</v>
      </c>
    </row>
    <row r="468" spans="1:11" x14ac:dyDescent="0.3">
      <c r="A468" s="15" t="s">
        <v>501</v>
      </c>
      <c r="B468" s="15">
        <v>4</v>
      </c>
      <c r="C468" s="15" t="s">
        <v>503</v>
      </c>
      <c r="D468" s="15">
        <v>2</v>
      </c>
      <c r="E468" s="15">
        <v>2</v>
      </c>
      <c r="F468" s="15">
        <v>4840</v>
      </c>
      <c r="G468" s="16">
        <v>30.57</v>
      </c>
      <c r="H468" s="15">
        <f t="shared" si="7"/>
        <v>159</v>
      </c>
      <c r="I468" s="15">
        <v>96</v>
      </c>
      <c r="J468" s="15" t="b">
        <v>1</v>
      </c>
      <c r="K468" s="15" t="b">
        <v>1</v>
      </c>
    </row>
    <row r="469" spans="1:11" x14ac:dyDescent="0.3">
      <c r="A469" s="15" t="s">
        <v>501</v>
      </c>
      <c r="B469" s="15">
        <v>4</v>
      </c>
      <c r="C469" s="15" t="s">
        <v>503</v>
      </c>
      <c r="D469" s="15">
        <v>2</v>
      </c>
      <c r="E469" s="15">
        <v>3</v>
      </c>
      <c r="F469" s="15">
        <v>4892</v>
      </c>
      <c r="G469" s="16">
        <v>30.57</v>
      </c>
      <c r="H469" s="15">
        <f t="shared" si="7"/>
        <v>161</v>
      </c>
      <c r="I469" s="15">
        <v>96</v>
      </c>
      <c r="J469" s="15" t="b">
        <v>1</v>
      </c>
      <c r="K469" s="15" t="b">
        <v>1</v>
      </c>
    </row>
    <row r="470" spans="1:11" x14ac:dyDescent="0.3">
      <c r="A470" s="15" t="s">
        <v>501</v>
      </c>
      <c r="B470" s="15">
        <v>4</v>
      </c>
      <c r="C470" s="15" t="s">
        <v>503</v>
      </c>
      <c r="D470" s="15">
        <v>3</v>
      </c>
      <c r="E470" s="15">
        <v>1</v>
      </c>
      <c r="F470" s="15">
        <v>1545</v>
      </c>
      <c r="G470" s="16">
        <v>30.57</v>
      </c>
      <c r="H470" s="15">
        <f t="shared" si="7"/>
        <v>51</v>
      </c>
      <c r="I470" s="15">
        <v>20</v>
      </c>
      <c r="J470" s="15" t="b">
        <v>1</v>
      </c>
      <c r="K470" s="15" t="b">
        <v>1</v>
      </c>
    </row>
    <row r="471" spans="1:11" x14ac:dyDescent="0.3">
      <c r="A471" s="15" t="s">
        <v>501</v>
      </c>
      <c r="B471" s="15">
        <v>4</v>
      </c>
      <c r="C471" s="15" t="s">
        <v>503</v>
      </c>
      <c r="D471" s="15">
        <v>3</v>
      </c>
      <c r="E471" s="15">
        <v>2</v>
      </c>
      <c r="F471" s="15">
        <v>1485</v>
      </c>
      <c r="G471" s="16">
        <v>30.57</v>
      </c>
      <c r="H471" s="15">
        <f t="shared" si="7"/>
        <v>49</v>
      </c>
      <c r="I471" s="15">
        <v>20</v>
      </c>
      <c r="J471" s="15" t="b">
        <v>1</v>
      </c>
      <c r="K471" s="15" t="b">
        <v>1</v>
      </c>
    </row>
    <row r="472" spans="1:11" x14ac:dyDescent="0.3">
      <c r="A472" s="15" t="s">
        <v>501</v>
      </c>
      <c r="B472" s="15">
        <v>4</v>
      </c>
      <c r="C472" s="15" t="s">
        <v>503</v>
      </c>
      <c r="D472" s="15">
        <v>3</v>
      </c>
      <c r="E472" s="15">
        <v>3</v>
      </c>
      <c r="F472" s="15">
        <v>1396</v>
      </c>
      <c r="G472" s="16">
        <v>30.57</v>
      </c>
      <c r="H472" s="15">
        <f t="shared" si="7"/>
        <v>46</v>
      </c>
      <c r="I472" s="15">
        <v>20</v>
      </c>
      <c r="J472" s="15" t="b">
        <v>1</v>
      </c>
      <c r="K472" s="15" t="b">
        <v>1</v>
      </c>
    </row>
    <row r="473" spans="1:11" x14ac:dyDescent="0.3">
      <c r="A473" s="15" t="s">
        <v>501</v>
      </c>
      <c r="B473" s="15">
        <v>4</v>
      </c>
      <c r="C473" s="15" t="s">
        <v>503</v>
      </c>
      <c r="D473" s="15">
        <v>4</v>
      </c>
      <c r="E473" s="15">
        <v>1</v>
      </c>
      <c r="F473" s="15">
        <v>539</v>
      </c>
      <c r="G473" s="16">
        <v>30.57</v>
      </c>
      <c r="H473" s="15">
        <f t="shared" si="7"/>
        <v>18</v>
      </c>
      <c r="I473" s="15">
        <v>6</v>
      </c>
      <c r="J473" s="15" t="b">
        <v>0</v>
      </c>
      <c r="K473" s="15" t="b">
        <v>1</v>
      </c>
    </row>
    <row r="474" spans="1:11" x14ac:dyDescent="0.3">
      <c r="A474" s="15" t="s">
        <v>501</v>
      </c>
      <c r="B474" s="15">
        <v>4</v>
      </c>
      <c r="C474" s="15" t="s">
        <v>503</v>
      </c>
      <c r="D474" s="15">
        <v>4</v>
      </c>
      <c r="E474" s="15">
        <v>2</v>
      </c>
      <c r="F474" s="15">
        <v>515</v>
      </c>
      <c r="G474" s="16">
        <v>30.57</v>
      </c>
      <c r="H474" s="15">
        <f t="shared" si="7"/>
        <v>17</v>
      </c>
      <c r="I474" s="15">
        <v>6</v>
      </c>
      <c r="J474" s="15" t="b">
        <v>0</v>
      </c>
      <c r="K474" s="15" t="b">
        <v>1</v>
      </c>
    </row>
    <row r="475" spans="1:11" x14ac:dyDescent="0.3">
      <c r="A475" s="15" t="s">
        <v>501</v>
      </c>
      <c r="B475" s="15">
        <v>4</v>
      </c>
      <c r="C475" s="15" t="s">
        <v>503</v>
      </c>
      <c r="D475" s="15">
        <v>4</v>
      </c>
      <c r="E475" s="15">
        <v>3</v>
      </c>
      <c r="F475" s="15">
        <v>475</v>
      </c>
      <c r="G475" s="16">
        <v>30.57</v>
      </c>
      <c r="H475" s="15">
        <f t="shared" si="7"/>
        <v>16</v>
      </c>
      <c r="I475" s="15">
        <v>6</v>
      </c>
      <c r="J475" s="15" t="b">
        <v>0</v>
      </c>
      <c r="K475" s="15" t="b">
        <v>1</v>
      </c>
    </row>
    <row r="476" spans="1:11" x14ac:dyDescent="0.3">
      <c r="A476" s="15" t="s">
        <v>501</v>
      </c>
      <c r="B476" s="15">
        <v>4</v>
      </c>
      <c r="C476" s="15" t="s">
        <v>503</v>
      </c>
      <c r="D476" s="15">
        <v>5</v>
      </c>
      <c r="E476" s="15">
        <v>1</v>
      </c>
      <c r="F476" s="15">
        <v>59</v>
      </c>
      <c r="G476" s="16">
        <v>30.57</v>
      </c>
      <c r="H476" s="15">
        <f t="shared" si="7"/>
        <v>2</v>
      </c>
      <c r="I476" s="15">
        <v>1</v>
      </c>
      <c r="J476" s="15" t="b">
        <v>0</v>
      </c>
      <c r="K476" s="15" t="b">
        <v>1</v>
      </c>
    </row>
    <row r="477" spans="1:11" x14ac:dyDescent="0.3">
      <c r="A477" s="15" t="s">
        <v>501</v>
      </c>
      <c r="B477" s="15">
        <v>4</v>
      </c>
      <c r="C477" s="15" t="s">
        <v>503</v>
      </c>
      <c r="D477" s="15">
        <v>5</v>
      </c>
      <c r="E477" s="15">
        <v>2</v>
      </c>
      <c r="F477" s="15">
        <v>64</v>
      </c>
      <c r="G477" s="16">
        <v>30.57</v>
      </c>
      <c r="H477" s="15">
        <f t="shared" si="7"/>
        <v>3</v>
      </c>
      <c r="I477" s="15">
        <v>1</v>
      </c>
      <c r="J477" s="15" t="b">
        <v>0</v>
      </c>
      <c r="K477" s="15" t="b">
        <v>1</v>
      </c>
    </row>
    <row r="478" spans="1:11" x14ac:dyDescent="0.3">
      <c r="A478" s="15" t="s">
        <v>501</v>
      </c>
      <c r="B478" s="15">
        <v>4</v>
      </c>
      <c r="C478" s="15" t="s">
        <v>503</v>
      </c>
      <c r="D478" s="15">
        <v>5</v>
      </c>
      <c r="E478" s="15">
        <v>3</v>
      </c>
      <c r="F478" s="15">
        <v>61</v>
      </c>
      <c r="G478" s="16">
        <v>30.57</v>
      </c>
      <c r="H478" s="15">
        <f t="shared" si="7"/>
        <v>2</v>
      </c>
      <c r="I478" s="15">
        <v>1</v>
      </c>
      <c r="J478" s="15" t="b">
        <v>0</v>
      </c>
      <c r="K478" s="15" t="b">
        <v>1</v>
      </c>
    </row>
    <row r="479" spans="1:11" x14ac:dyDescent="0.3">
      <c r="A479" s="15" t="s">
        <v>501</v>
      </c>
      <c r="B479" s="15">
        <v>4</v>
      </c>
      <c r="C479" s="15" t="s">
        <v>504</v>
      </c>
      <c r="D479" s="15">
        <v>1</v>
      </c>
      <c r="E479" s="15">
        <v>1</v>
      </c>
      <c r="F479" s="15">
        <v>3396</v>
      </c>
      <c r="G479" s="16">
        <v>32.26</v>
      </c>
      <c r="H479" s="15">
        <f t="shared" si="7"/>
        <v>106</v>
      </c>
      <c r="I479" s="15">
        <v>64</v>
      </c>
      <c r="J479" s="15" t="b">
        <v>1</v>
      </c>
      <c r="K479" s="15" t="b">
        <v>1</v>
      </c>
    </row>
    <row r="480" spans="1:11" x14ac:dyDescent="0.3">
      <c r="A480" s="15" t="s">
        <v>501</v>
      </c>
      <c r="B480" s="15">
        <v>4</v>
      </c>
      <c r="C480" s="15" t="s">
        <v>504</v>
      </c>
      <c r="D480" s="15">
        <v>1</v>
      </c>
      <c r="E480" s="15">
        <v>2</v>
      </c>
      <c r="F480" s="15">
        <v>3196</v>
      </c>
      <c r="G480" s="16">
        <v>32.26</v>
      </c>
      <c r="H480" s="15">
        <f t="shared" si="7"/>
        <v>100</v>
      </c>
      <c r="I480" s="15">
        <v>64</v>
      </c>
      <c r="J480" s="15" t="b">
        <v>1</v>
      </c>
      <c r="K480" s="15" t="b">
        <v>1</v>
      </c>
    </row>
    <row r="481" spans="1:11" x14ac:dyDescent="0.3">
      <c r="A481" s="15" t="s">
        <v>501</v>
      </c>
      <c r="B481" s="15">
        <v>4</v>
      </c>
      <c r="C481" s="15" t="s">
        <v>504</v>
      </c>
      <c r="D481" s="15">
        <v>1</v>
      </c>
      <c r="E481" s="15">
        <v>3</v>
      </c>
      <c r="F481" s="15">
        <v>3192</v>
      </c>
      <c r="G481" s="16">
        <v>32.26</v>
      </c>
      <c r="H481" s="15">
        <f t="shared" si="7"/>
        <v>99</v>
      </c>
      <c r="I481" s="15">
        <v>64</v>
      </c>
      <c r="J481" s="15" t="b">
        <v>1</v>
      </c>
      <c r="K481" s="15" t="b">
        <v>1</v>
      </c>
    </row>
    <row r="482" spans="1:11" x14ac:dyDescent="0.3">
      <c r="A482" s="15" t="s">
        <v>501</v>
      </c>
      <c r="B482" s="15">
        <v>4</v>
      </c>
      <c r="C482" s="15" t="s">
        <v>504</v>
      </c>
      <c r="D482" s="15">
        <v>2</v>
      </c>
      <c r="E482" s="15">
        <v>1</v>
      </c>
      <c r="F482" s="15">
        <v>4133</v>
      </c>
      <c r="G482" s="16">
        <v>32.26</v>
      </c>
      <c r="H482" s="15">
        <f t="shared" si="7"/>
        <v>129</v>
      </c>
      <c r="I482" s="15">
        <v>59</v>
      </c>
      <c r="J482" s="15" t="b">
        <v>1</v>
      </c>
      <c r="K482" s="15" t="b">
        <v>1</v>
      </c>
    </row>
    <row r="483" spans="1:11" x14ac:dyDescent="0.3">
      <c r="A483" s="15" t="s">
        <v>501</v>
      </c>
      <c r="B483" s="15">
        <v>4</v>
      </c>
      <c r="C483" s="15" t="s">
        <v>504</v>
      </c>
      <c r="D483" s="15">
        <v>2</v>
      </c>
      <c r="E483" s="15">
        <v>2</v>
      </c>
      <c r="F483" s="15">
        <v>3758</v>
      </c>
      <c r="G483" s="16">
        <v>32.26</v>
      </c>
      <c r="H483" s="15">
        <f t="shared" si="7"/>
        <v>117</v>
      </c>
      <c r="I483" s="15">
        <v>59</v>
      </c>
      <c r="J483" s="15" t="b">
        <v>1</v>
      </c>
      <c r="K483" s="15" t="b">
        <v>1</v>
      </c>
    </row>
    <row r="484" spans="1:11" x14ac:dyDescent="0.3">
      <c r="A484" s="15" t="s">
        <v>501</v>
      </c>
      <c r="B484" s="15">
        <v>4</v>
      </c>
      <c r="C484" s="15" t="s">
        <v>504</v>
      </c>
      <c r="D484" s="15">
        <v>2</v>
      </c>
      <c r="E484" s="15">
        <v>3</v>
      </c>
      <c r="F484" s="15">
        <v>3609</v>
      </c>
      <c r="G484" s="16">
        <v>32.26</v>
      </c>
      <c r="H484" s="15">
        <f t="shared" si="7"/>
        <v>112</v>
      </c>
      <c r="I484" s="15">
        <v>59</v>
      </c>
      <c r="J484" s="15" t="b">
        <v>1</v>
      </c>
      <c r="K484" s="15" t="b">
        <v>1</v>
      </c>
    </row>
    <row r="485" spans="1:11" x14ac:dyDescent="0.3">
      <c r="A485" s="15" t="s">
        <v>501</v>
      </c>
      <c r="B485" s="15">
        <v>4</v>
      </c>
      <c r="C485" s="15" t="s">
        <v>504</v>
      </c>
      <c r="D485" s="15">
        <v>3</v>
      </c>
      <c r="E485" s="15">
        <v>1</v>
      </c>
      <c r="F485" s="15">
        <v>4834</v>
      </c>
      <c r="G485" s="16">
        <v>32.26</v>
      </c>
      <c r="H485" s="15">
        <f t="shared" si="7"/>
        <v>150</v>
      </c>
      <c r="I485" s="15">
        <v>47</v>
      </c>
      <c r="J485" s="15" t="b">
        <v>1</v>
      </c>
      <c r="K485" s="15" t="b">
        <v>1</v>
      </c>
    </row>
    <row r="486" spans="1:11" x14ac:dyDescent="0.3">
      <c r="A486" s="15" t="s">
        <v>501</v>
      </c>
      <c r="B486" s="15">
        <v>4</v>
      </c>
      <c r="C486" s="15" t="s">
        <v>504</v>
      </c>
      <c r="D486" s="15">
        <v>3</v>
      </c>
      <c r="E486" s="15">
        <v>2</v>
      </c>
      <c r="F486" s="15">
        <v>4567</v>
      </c>
      <c r="G486" s="16">
        <v>32.26</v>
      </c>
      <c r="H486" s="15">
        <f t="shared" si="7"/>
        <v>142</v>
      </c>
      <c r="I486" s="15">
        <v>47</v>
      </c>
      <c r="J486" s="15" t="b">
        <v>1</v>
      </c>
      <c r="K486" s="15" t="b">
        <v>1</v>
      </c>
    </row>
    <row r="487" spans="1:11" x14ac:dyDescent="0.3">
      <c r="A487" s="15" t="s">
        <v>501</v>
      </c>
      <c r="B487" s="15">
        <v>4</v>
      </c>
      <c r="C487" s="15" t="s">
        <v>504</v>
      </c>
      <c r="D487" s="15">
        <v>3</v>
      </c>
      <c r="E487" s="15">
        <v>3</v>
      </c>
      <c r="F487" s="15">
        <v>4366</v>
      </c>
      <c r="G487" s="16">
        <v>32.26</v>
      </c>
      <c r="H487" s="15">
        <f t="shared" si="7"/>
        <v>136</v>
      </c>
      <c r="I487" s="15">
        <v>47</v>
      </c>
      <c r="J487" s="15" t="b">
        <v>1</v>
      </c>
      <c r="K487" s="15" t="b">
        <v>1</v>
      </c>
    </row>
    <row r="488" spans="1:11" x14ac:dyDescent="0.3">
      <c r="A488" s="15" t="s">
        <v>501</v>
      </c>
      <c r="B488" s="15">
        <v>4</v>
      </c>
      <c r="C488" s="15" t="s">
        <v>504</v>
      </c>
      <c r="D488" s="15">
        <v>4</v>
      </c>
      <c r="E488" s="15">
        <v>1</v>
      </c>
      <c r="F488" s="15">
        <v>1417</v>
      </c>
      <c r="G488" s="16">
        <v>32.26</v>
      </c>
      <c r="H488" s="15">
        <f t="shared" si="7"/>
        <v>44</v>
      </c>
      <c r="I488" s="15">
        <v>13</v>
      </c>
      <c r="J488" s="15" t="b">
        <v>0</v>
      </c>
      <c r="K488" s="15" t="b">
        <v>1</v>
      </c>
    </row>
    <row r="489" spans="1:11" x14ac:dyDescent="0.3">
      <c r="A489" s="15" t="s">
        <v>501</v>
      </c>
      <c r="B489" s="15">
        <v>4</v>
      </c>
      <c r="C489" s="15" t="s">
        <v>504</v>
      </c>
      <c r="D489" s="15">
        <v>4</v>
      </c>
      <c r="E489" s="15">
        <v>2</v>
      </c>
      <c r="F489" s="15">
        <v>1330</v>
      </c>
      <c r="G489" s="16">
        <v>32.26</v>
      </c>
      <c r="H489" s="15">
        <f t="shared" si="7"/>
        <v>42</v>
      </c>
      <c r="I489" s="15">
        <v>13</v>
      </c>
      <c r="J489" s="15" t="b">
        <v>0</v>
      </c>
      <c r="K489" s="15" t="b">
        <v>1</v>
      </c>
    </row>
    <row r="490" spans="1:11" x14ac:dyDescent="0.3">
      <c r="A490" s="15" t="s">
        <v>501</v>
      </c>
      <c r="B490" s="15">
        <v>4</v>
      </c>
      <c r="C490" s="15" t="s">
        <v>504</v>
      </c>
      <c r="D490" s="15">
        <v>4</v>
      </c>
      <c r="E490" s="15">
        <v>3</v>
      </c>
      <c r="F490" s="15">
        <v>1316</v>
      </c>
      <c r="G490" s="16">
        <v>32.26</v>
      </c>
      <c r="H490" s="15">
        <f t="shared" si="7"/>
        <v>41</v>
      </c>
      <c r="I490" s="15">
        <v>13</v>
      </c>
      <c r="J490" s="15" t="b">
        <v>0</v>
      </c>
      <c r="K490" s="15" t="b">
        <v>1</v>
      </c>
    </row>
    <row r="491" spans="1:11" x14ac:dyDescent="0.3">
      <c r="A491" s="15" t="s">
        <v>501</v>
      </c>
      <c r="B491" s="15">
        <v>4</v>
      </c>
      <c r="C491" s="15" t="s">
        <v>504</v>
      </c>
      <c r="D491" s="15">
        <v>5</v>
      </c>
      <c r="E491" s="15">
        <v>1</v>
      </c>
      <c r="F491" s="15">
        <v>302</v>
      </c>
      <c r="G491" s="16">
        <v>32.26</v>
      </c>
      <c r="H491" s="15">
        <f t="shared" si="7"/>
        <v>10</v>
      </c>
      <c r="I491" s="15">
        <v>3</v>
      </c>
      <c r="J491" s="15" t="b">
        <v>0</v>
      </c>
      <c r="K491" s="15" t="b">
        <v>1</v>
      </c>
    </row>
    <row r="492" spans="1:11" x14ac:dyDescent="0.3">
      <c r="A492" s="15" t="s">
        <v>501</v>
      </c>
      <c r="B492" s="15">
        <v>4</v>
      </c>
      <c r="C492" s="15" t="s">
        <v>504</v>
      </c>
      <c r="D492" s="15">
        <v>5</v>
      </c>
      <c r="E492" s="15">
        <v>2</v>
      </c>
      <c r="F492" s="15">
        <v>314</v>
      </c>
      <c r="G492" s="16">
        <v>32.26</v>
      </c>
      <c r="H492" s="15">
        <f t="shared" si="7"/>
        <v>10</v>
      </c>
      <c r="I492" s="15">
        <v>3</v>
      </c>
      <c r="J492" s="15" t="b">
        <v>0</v>
      </c>
      <c r="K492" s="15" t="b">
        <v>1</v>
      </c>
    </row>
    <row r="493" spans="1:11" x14ac:dyDescent="0.3">
      <c r="A493" s="15" t="s">
        <v>501</v>
      </c>
      <c r="B493" s="15">
        <v>4</v>
      </c>
      <c r="C493" s="15" t="s">
        <v>504</v>
      </c>
      <c r="D493" s="15">
        <v>5</v>
      </c>
      <c r="E493" s="15">
        <v>3</v>
      </c>
      <c r="F493" s="15">
        <v>320</v>
      </c>
      <c r="G493" s="16">
        <v>32.26</v>
      </c>
      <c r="H493" s="15">
        <f t="shared" si="7"/>
        <v>10</v>
      </c>
      <c r="I493" s="15">
        <v>3</v>
      </c>
      <c r="J493" s="15" t="b">
        <v>0</v>
      </c>
      <c r="K493" s="15" t="b">
        <v>1</v>
      </c>
    </row>
    <row r="494" spans="1:11" x14ac:dyDescent="0.3">
      <c r="A494" s="15" t="s">
        <v>501</v>
      </c>
      <c r="B494" s="15">
        <v>4</v>
      </c>
      <c r="C494" s="15" t="s">
        <v>505</v>
      </c>
      <c r="D494" s="15">
        <v>1</v>
      </c>
      <c r="E494" s="15">
        <v>1</v>
      </c>
      <c r="F494" s="15">
        <v>4679</v>
      </c>
      <c r="G494" s="16">
        <v>31.69</v>
      </c>
      <c r="H494" s="15">
        <f t="shared" si="7"/>
        <v>148</v>
      </c>
      <c r="I494" s="15">
        <v>94</v>
      </c>
      <c r="J494" s="15" t="b">
        <v>1</v>
      </c>
      <c r="K494" s="15" t="b">
        <v>1</v>
      </c>
    </row>
    <row r="495" spans="1:11" x14ac:dyDescent="0.3">
      <c r="A495" s="15" t="s">
        <v>501</v>
      </c>
      <c r="B495" s="15">
        <v>4</v>
      </c>
      <c r="C495" s="15" t="s">
        <v>505</v>
      </c>
      <c r="D495" s="15">
        <v>1</v>
      </c>
      <c r="E495" s="15">
        <v>2</v>
      </c>
      <c r="F495" s="15">
        <v>4403</v>
      </c>
      <c r="G495" s="16">
        <v>31.69</v>
      </c>
      <c r="H495" s="15">
        <f t="shared" si="7"/>
        <v>139</v>
      </c>
      <c r="I495" s="15">
        <v>94</v>
      </c>
      <c r="J495" s="15" t="b">
        <v>1</v>
      </c>
      <c r="K495" s="15" t="b">
        <v>1</v>
      </c>
    </row>
    <row r="496" spans="1:11" x14ac:dyDescent="0.3">
      <c r="A496" s="15" t="s">
        <v>501</v>
      </c>
      <c r="B496" s="15">
        <v>4</v>
      </c>
      <c r="C496" s="15" t="s">
        <v>505</v>
      </c>
      <c r="D496" s="15">
        <v>1</v>
      </c>
      <c r="E496" s="15">
        <v>3</v>
      </c>
      <c r="F496" s="15">
        <v>4365</v>
      </c>
      <c r="G496" s="16">
        <v>31.69</v>
      </c>
      <c r="H496" s="15">
        <f t="shared" si="7"/>
        <v>138</v>
      </c>
      <c r="I496" s="15">
        <v>94</v>
      </c>
      <c r="J496" s="15" t="b">
        <v>1</v>
      </c>
      <c r="K496" s="15" t="b">
        <v>1</v>
      </c>
    </row>
    <row r="497" spans="1:11" x14ac:dyDescent="0.3">
      <c r="A497" s="15" t="s">
        <v>501</v>
      </c>
      <c r="B497" s="15">
        <v>4</v>
      </c>
      <c r="C497" s="15" t="s">
        <v>505</v>
      </c>
      <c r="D497" s="15">
        <v>2</v>
      </c>
      <c r="E497" s="15">
        <v>1</v>
      </c>
      <c r="F497" s="15">
        <v>6285</v>
      </c>
      <c r="G497" s="16">
        <v>31.69</v>
      </c>
      <c r="H497" s="15">
        <f t="shared" si="7"/>
        <v>199</v>
      </c>
      <c r="I497" s="15">
        <v>107</v>
      </c>
      <c r="J497" s="15" t="b">
        <v>1</v>
      </c>
      <c r="K497" s="15" t="b">
        <v>1</v>
      </c>
    </row>
    <row r="498" spans="1:11" x14ac:dyDescent="0.3">
      <c r="A498" s="15" t="s">
        <v>501</v>
      </c>
      <c r="B498" s="15">
        <v>4</v>
      </c>
      <c r="C498" s="15" t="s">
        <v>505</v>
      </c>
      <c r="D498" s="15">
        <v>2</v>
      </c>
      <c r="E498" s="15">
        <v>2</v>
      </c>
      <c r="F498" s="15">
        <v>6100</v>
      </c>
      <c r="G498" s="16">
        <v>31.69</v>
      </c>
      <c r="H498" s="15">
        <f t="shared" si="7"/>
        <v>193</v>
      </c>
      <c r="I498" s="15">
        <v>107</v>
      </c>
      <c r="J498" s="15" t="b">
        <v>1</v>
      </c>
      <c r="K498" s="15" t="b">
        <v>1</v>
      </c>
    </row>
    <row r="499" spans="1:11" x14ac:dyDescent="0.3">
      <c r="A499" s="15" t="s">
        <v>501</v>
      </c>
      <c r="B499" s="15">
        <v>4</v>
      </c>
      <c r="C499" s="15" t="s">
        <v>505</v>
      </c>
      <c r="D499" s="15">
        <v>2</v>
      </c>
      <c r="E499" s="15">
        <v>3</v>
      </c>
      <c r="F499" s="15">
        <v>6118</v>
      </c>
      <c r="G499" s="16">
        <v>31.69</v>
      </c>
      <c r="H499" s="15">
        <f t="shared" si="7"/>
        <v>194</v>
      </c>
      <c r="I499" s="15">
        <v>107</v>
      </c>
      <c r="J499" s="15" t="b">
        <v>1</v>
      </c>
      <c r="K499" s="15" t="b">
        <v>1</v>
      </c>
    </row>
    <row r="500" spans="1:11" x14ac:dyDescent="0.3">
      <c r="A500" s="15" t="s">
        <v>501</v>
      </c>
      <c r="B500" s="15">
        <v>4</v>
      </c>
      <c r="C500" s="15" t="s">
        <v>505</v>
      </c>
      <c r="D500" s="15">
        <v>3</v>
      </c>
      <c r="E500" s="15">
        <v>1</v>
      </c>
      <c r="F500" s="15">
        <v>6316</v>
      </c>
      <c r="G500" s="16">
        <v>31.69</v>
      </c>
      <c r="H500" s="15">
        <f t="shared" si="7"/>
        <v>200</v>
      </c>
      <c r="I500" s="15">
        <v>70</v>
      </c>
      <c r="J500" s="15" t="b">
        <v>1</v>
      </c>
      <c r="K500" s="15" t="b">
        <v>1</v>
      </c>
    </row>
    <row r="501" spans="1:11" x14ac:dyDescent="0.3">
      <c r="A501" s="15" t="s">
        <v>501</v>
      </c>
      <c r="B501" s="15">
        <v>4</v>
      </c>
      <c r="C501" s="15" t="s">
        <v>505</v>
      </c>
      <c r="D501" s="15">
        <v>3</v>
      </c>
      <c r="E501" s="15">
        <v>2</v>
      </c>
      <c r="F501" s="15">
        <v>5963</v>
      </c>
      <c r="G501" s="16">
        <v>31.69</v>
      </c>
      <c r="H501" s="15">
        <f t="shared" si="7"/>
        <v>189</v>
      </c>
      <c r="I501" s="15">
        <v>70</v>
      </c>
      <c r="J501" s="15" t="b">
        <v>1</v>
      </c>
      <c r="K501" s="15" t="b">
        <v>1</v>
      </c>
    </row>
    <row r="502" spans="1:11" x14ac:dyDescent="0.3">
      <c r="A502" s="15" t="s">
        <v>501</v>
      </c>
      <c r="B502" s="15">
        <v>4</v>
      </c>
      <c r="C502" s="15" t="s">
        <v>505</v>
      </c>
      <c r="D502" s="15">
        <v>3</v>
      </c>
      <c r="E502" s="15">
        <v>3</v>
      </c>
      <c r="F502" s="15">
        <v>6150</v>
      </c>
      <c r="G502" s="16">
        <v>31.69</v>
      </c>
      <c r="H502" s="15">
        <f t="shared" si="7"/>
        <v>195</v>
      </c>
      <c r="I502" s="15">
        <v>70</v>
      </c>
      <c r="J502" s="15" t="b">
        <v>1</v>
      </c>
      <c r="K502" s="15" t="b">
        <v>1</v>
      </c>
    </row>
    <row r="503" spans="1:11" x14ac:dyDescent="0.3">
      <c r="A503" s="15" t="s">
        <v>501</v>
      </c>
      <c r="B503" s="15">
        <v>4</v>
      </c>
      <c r="C503" s="15" t="s">
        <v>505</v>
      </c>
      <c r="D503" s="15">
        <v>4</v>
      </c>
      <c r="E503" s="15">
        <v>1</v>
      </c>
      <c r="F503" s="15">
        <v>2218</v>
      </c>
      <c r="G503" s="16">
        <v>31.69</v>
      </c>
      <c r="H503" s="15">
        <f t="shared" si="7"/>
        <v>70</v>
      </c>
      <c r="I503" s="15">
        <v>18</v>
      </c>
      <c r="J503" s="15" t="b">
        <v>0</v>
      </c>
      <c r="K503" s="15" t="b">
        <v>1</v>
      </c>
    </row>
    <row r="504" spans="1:11" x14ac:dyDescent="0.3">
      <c r="A504" s="15" t="s">
        <v>501</v>
      </c>
      <c r="B504" s="15">
        <v>4</v>
      </c>
      <c r="C504" s="15" t="s">
        <v>505</v>
      </c>
      <c r="D504" s="15">
        <v>4</v>
      </c>
      <c r="E504" s="15">
        <v>2</v>
      </c>
      <c r="F504" s="15">
        <v>2173</v>
      </c>
      <c r="G504" s="16">
        <v>31.69</v>
      </c>
      <c r="H504" s="15">
        <f t="shared" si="7"/>
        <v>69</v>
      </c>
      <c r="I504" s="15">
        <v>18</v>
      </c>
      <c r="J504" s="15" t="b">
        <v>0</v>
      </c>
      <c r="K504" s="15" t="b">
        <v>1</v>
      </c>
    </row>
    <row r="505" spans="1:11" x14ac:dyDescent="0.3">
      <c r="A505" s="15" t="s">
        <v>501</v>
      </c>
      <c r="B505" s="15">
        <v>4</v>
      </c>
      <c r="C505" s="15" t="s">
        <v>505</v>
      </c>
      <c r="D505" s="15">
        <v>4</v>
      </c>
      <c r="E505" s="15">
        <v>3</v>
      </c>
      <c r="F505" s="15">
        <v>2304</v>
      </c>
      <c r="G505" s="16">
        <v>31.69</v>
      </c>
      <c r="H505" s="15">
        <f t="shared" si="7"/>
        <v>73</v>
      </c>
      <c r="I505" s="15">
        <v>18</v>
      </c>
      <c r="J505" s="15" t="b">
        <v>0</v>
      </c>
      <c r="K505" s="15" t="b">
        <v>1</v>
      </c>
    </row>
    <row r="506" spans="1:11" x14ac:dyDescent="0.3">
      <c r="A506" s="15" t="s">
        <v>501</v>
      </c>
      <c r="B506" s="15">
        <v>4</v>
      </c>
      <c r="C506" s="15" t="s">
        <v>505</v>
      </c>
      <c r="D506" s="15">
        <v>5</v>
      </c>
      <c r="E506" s="15">
        <v>1</v>
      </c>
      <c r="F506" s="15">
        <v>1679</v>
      </c>
      <c r="G506" s="16">
        <v>31.69</v>
      </c>
      <c r="H506" s="15">
        <f t="shared" si="7"/>
        <v>53</v>
      </c>
      <c r="I506" s="15">
        <v>15</v>
      </c>
      <c r="J506" s="15" t="b">
        <v>0</v>
      </c>
      <c r="K506" s="15" t="b">
        <v>1</v>
      </c>
    </row>
    <row r="507" spans="1:11" x14ac:dyDescent="0.3">
      <c r="A507" s="15" t="s">
        <v>501</v>
      </c>
      <c r="B507" s="15">
        <v>4</v>
      </c>
      <c r="C507" s="15" t="s">
        <v>505</v>
      </c>
      <c r="D507" s="15">
        <v>5</v>
      </c>
      <c r="E507" s="15">
        <v>2</v>
      </c>
      <c r="F507" s="15">
        <v>1810</v>
      </c>
      <c r="G507" s="16">
        <v>31.69</v>
      </c>
      <c r="H507" s="15">
        <f t="shared" si="7"/>
        <v>58</v>
      </c>
      <c r="I507" s="15">
        <v>15</v>
      </c>
      <c r="J507" s="15" t="b">
        <v>0</v>
      </c>
      <c r="K507" s="15" t="b">
        <v>1</v>
      </c>
    </row>
    <row r="508" spans="1:11" x14ac:dyDescent="0.3">
      <c r="A508" s="15" t="s">
        <v>501</v>
      </c>
      <c r="B508" s="15">
        <v>4</v>
      </c>
      <c r="C508" s="15" t="s">
        <v>505</v>
      </c>
      <c r="D508" s="15">
        <v>5</v>
      </c>
      <c r="E508" s="15">
        <v>3</v>
      </c>
      <c r="F508" s="15">
        <v>1794</v>
      </c>
      <c r="G508" s="16">
        <v>31.69</v>
      </c>
      <c r="H508" s="15">
        <f t="shared" si="7"/>
        <v>57</v>
      </c>
      <c r="I508" s="15">
        <v>15</v>
      </c>
      <c r="J508" s="15" t="b">
        <v>0</v>
      </c>
      <c r="K508" s="15" t="b">
        <v>1</v>
      </c>
    </row>
    <row r="509" spans="1:11" x14ac:dyDescent="0.3">
      <c r="A509" s="15" t="s">
        <v>501</v>
      </c>
      <c r="B509" s="15">
        <v>4</v>
      </c>
      <c r="C509" s="15" t="s">
        <v>506</v>
      </c>
      <c r="D509" s="15">
        <v>1</v>
      </c>
      <c r="E509" s="15">
        <v>1</v>
      </c>
      <c r="F509" s="15">
        <v>192</v>
      </c>
      <c r="G509" s="16">
        <v>33.25</v>
      </c>
      <c r="H509" s="15">
        <f t="shared" si="7"/>
        <v>6</v>
      </c>
      <c r="I509" s="15">
        <v>3</v>
      </c>
      <c r="J509" s="15" t="b">
        <v>1</v>
      </c>
      <c r="K509" s="15" t="b">
        <v>1</v>
      </c>
    </row>
    <row r="510" spans="1:11" x14ac:dyDescent="0.3">
      <c r="A510" s="15" t="s">
        <v>501</v>
      </c>
      <c r="B510" s="15">
        <v>4</v>
      </c>
      <c r="C510" s="15" t="s">
        <v>506</v>
      </c>
      <c r="D510" s="15">
        <v>1</v>
      </c>
      <c r="E510" s="15">
        <v>2</v>
      </c>
      <c r="F510" s="15">
        <v>199</v>
      </c>
      <c r="G510" s="16">
        <v>33.25</v>
      </c>
      <c r="H510" s="15">
        <f t="shared" si="7"/>
        <v>6</v>
      </c>
      <c r="I510" s="15">
        <v>3</v>
      </c>
      <c r="J510" s="15" t="b">
        <v>1</v>
      </c>
      <c r="K510" s="15" t="b">
        <v>1</v>
      </c>
    </row>
    <row r="511" spans="1:11" x14ac:dyDescent="0.3">
      <c r="A511" s="15" t="s">
        <v>501</v>
      </c>
      <c r="B511" s="15">
        <v>4</v>
      </c>
      <c r="C511" s="15" t="s">
        <v>506</v>
      </c>
      <c r="D511" s="15">
        <v>1</v>
      </c>
      <c r="E511" s="15">
        <v>3</v>
      </c>
      <c r="F511" s="15">
        <v>193</v>
      </c>
      <c r="G511" s="16">
        <v>33.25</v>
      </c>
      <c r="H511" s="15">
        <f t="shared" si="7"/>
        <v>6</v>
      </c>
      <c r="I511" s="15">
        <v>3</v>
      </c>
      <c r="J511" s="15" t="b">
        <v>1</v>
      </c>
      <c r="K511" s="15" t="b">
        <v>1</v>
      </c>
    </row>
    <row r="512" spans="1:11" x14ac:dyDescent="0.3">
      <c r="A512" s="15" t="s">
        <v>501</v>
      </c>
      <c r="B512" s="15">
        <v>4</v>
      </c>
      <c r="C512" s="15" t="s">
        <v>506</v>
      </c>
      <c r="D512" s="15">
        <v>2</v>
      </c>
      <c r="E512" s="15">
        <v>1</v>
      </c>
      <c r="F512" s="15">
        <v>4310</v>
      </c>
      <c r="G512" s="16">
        <v>33.25</v>
      </c>
      <c r="H512" s="15">
        <f t="shared" si="7"/>
        <v>130</v>
      </c>
      <c r="I512" s="15">
        <v>46</v>
      </c>
      <c r="J512" s="15" t="b">
        <v>1</v>
      </c>
      <c r="K512" s="15" t="b">
        <v>1</v>
      </c>
    </row>
    <row r="513" spans="1:11" x14ac:dyDescent="0.3">
      <c r="A513" s="15" t="s">
        <v>501</v>
      </c>
      <c r="B513" s="15">
        <v>4</v>
      </c>
      <c r="C513" s="15" t="s">
        <v>506</v>
      </c>
      <c r="D513" s="15">
        <v>2</v>
      </c>
      <c r="E513" s="15">
        <v>2</v>
      </c>
      <c r="F513" s="15">
        <v>4410</v>
      </c>
      <c r="G513" s="16">
        <v>33.25</v>
      </c>
      <c r="H513" s="15">
        <f t="shared" si="7"/>
        <v>133</v>
      </c>
      <c r="I513" s="15">
        <v>46</v>
      </c>
      <c r="J513" s="15" t="b">
        <v>1</v>
      </c>
      <c r="K513" s="15" t="b">
        <v>1</v>
      </c>
    </row>
    <row r="514" spans="1:11" x14ac:dyDescent="0.3">
      <c r="A514" s="15" t="s">
        <v>501</v>
      </c>
      <c r="B514" s="15">
        <v>4</v>
      </c>
      <c r="C514" s="15" t="s">
        <v>506</v>
      </c>
      <c r="D514" s="15">
        <v>2</v>
      </c>
      <c r="E514" s="15">
        <v>3</v>
      </c>
      <c r="F514" s="15">
        <v>4257</v>
      </c>
      <c r="G514" s="16">
        <v>33.25</v>
      </c>
      <c r="H514" s="15">
        <f t="shared" si="7"/>
        <v>129</v>
      </c>
      <c r="I514" s="15">
        <v>46</v>
      </c>
      <c r="J514" s="15" t="b">
        <v>1</v>
      </c>
      <c r="K514" s="15" t="b">
        <v>1</v>
      </c>
    </row>
    <row r="515" spans="1:11" x14ac:dyDescent="0.3">
      <c r="A515" s="15" t="s">
        <v>501</v>
      </c>
      <c r="B515" s="15">
        <v>4</v>
      </c>
      <c r="C515" s="15" t="s">
        <v>506</v>
      </c>
      <c r="D515" s="15">
        <v>3</v>
      </c>
      <c r="E515" s="15">
        <v>1</v>
      </c>
      <c r="F515" s="15">
        <v>13867</v>
      </c>
      <c r="G515" s="16">
        <v>33.25</v>
      </c>
      <c r="H515" s="15">
        <f t="shared" ref="H515:H578" si="8">ROUNDUP(F515/G515,0)</f>
        <v>418</v>
      </c>
      <c r="I515" s="15">
        <v>121</v>
      </c>
      <c r="J515" s="15" t="b">
        <v>1</v>
      </c>
      <c r="K515" s="15" t="b">
        <v>1</v>
      </c>
    </row>
    <row r="516" spans="1:11" x14ac:dyDescent="0.3">
      <c r="A516" s="15" t="s">
        <v>501</v>
      </c>
      <c r="B516" s="15">
        <v>4</v>
      </c>
      <c r="C516" s="15" t="s">
        <v>506</v>
      </c>
      <c r="D516" s="15">
        <v>3</v>
      </c>
      <c r="E516" s="15">
        <v>2</v>
      </c>
      <c r="F516" s="15">
        <v>12676</v>
      </c>
      <c r="G516" s="16">
        <v>33.25</v>
      </c>
      <c r="H516" s="15">
        <f t="shared" si="8"/>
        <v>382</v>
      </c>
      <c r="I516" s="15">
        <v>121</v>
      </c>
      <c r="J516" s="15" t="b">
        <v>1</v>
      </c>
      <c r="K516" s="15" t="b">
        <v>1</v>
      </c>
    </row>
    <row r="517" spans="1:11" x14ac:dyDescent="0.3">
      <c r="A517" s="15" t="s">
        <v>501</v>
      </c>
      <c r="B517" s="15">
        <v>4</v>
      </c>
      <c r="C517" s="15" t="s">
        <v>506</v>
      </c>
      <c r="D517" s="15">
        <v>3</v>
      </c>
      <c r="E517" s="15">
        <v>3</v>
      </c>
      <c r="F517" s="15">
        <v>12698</v>
      </c>
      <c r="G517" s="16">
        <v>33.25</v>
      </c>
      <c r="H517" s="15">
        <f t="shared" si="8"/>
        <v>382</v>
      </c>
      <c r="I517" s="15">
        <v>121</v>
      </c>
      <c r="J517" s="15" t="b">
        <v>1</v>
      </c>
      <c r="K517" s="15" t="b">
        <v>1</v>
      </c>
    </row>
    <row r="518" spans="1:11" x14ac:dyDescent="0.3">
      <c r="A518" s="15" t="s">
        <v>501</v>
      </c>
      <c r="B518" s="15">
        <v>4</v>
      </c>
      <c r="C518" s="15" t="s">
        <v>506</v>
      </c>
      <c r="D518" s="15">
        <v>4</v>
      </c>
      <c r="E518" s="15">
        <v>1</v>
      </c>
      <c r="F518" s="15">
        <v>7782</v>
      </c>
      <c r="G518" s="16">
        <v>33.25</v>
      </c>
      <c r="H518" s="15">
        <f t="shared" si="8"/>
        <v>235</v>
      </c>
      <c r="I518" s="15">
        <v>75</v>
      </c>
      <c r="J518" s="15" t="b">
        <v>0</v>
      </c>
      <c r="K518" s="15" t="b">
        <v>1</v>
      </c>
    </row>
    <row r="519" spans="1:11" x14ac:dyDescent="0.3">
      <c r="A519" s="15" t="s">
        <v>501</v>
      </c>
      <c r="B519" s="15">
        <v>4</v>
      </c>
      <c r="C519" s="15" t="s">
        <v>506</v>
      </c>
      <c r="D519" s="15">
        <v>4</v>
      </c>
      <c r="E519" s="15">
        <v>2</v>
      </c>
      <c r="F519" s="15">
        <v>7506</v>
      </c>
      <c r="G519" s="16">
        <v>33.25</v>
      </c>
      <c r="H519" s="15">
        <f t="shared" si="8"/>
        <v>226</v>
      </c>
      <c r="I519" s="15">
        <v>75</v>
      </c>
      <c r="J519" s="15" t="b">
        <v>0</v>
      </c>
      <c r="K519" s="15" t="b">
        <v>1</v>
      </c>
    </row>
    <row r="520" spans="1:11" x14ac:dyDescent="0.3">
      <c r="A520" s="15" t="s">
        <v>501</v>
      </c>
      <c r="B520" s="15">
        <v>4</v>
      </c>
      <c r="C520" s="15" t="s">
        <v>506</v>
      </c>
      <c r="D520" s="15">
        <v>4</v>
      </c>
      <c r="E520" s="15">
        <v>3</v>
      </c>
      <c r="F520" s="15">
        <v>7248</v>
      </c>
      <c r="G520" s="16">
        <v>33.25</v>
      </c>
      <c r="H520" s="15">
        <f t="shared" si="8"/>
        <v>218</v>
      </c>
      <c r="I520" s="15">
        <v>75</v>
      </c>
      <c r="J520" s="15" t="b">
        <v>0</v>
      </c>
      <c r="K520" s="15" t="b">
        <v>1</v>
      </c>
    </row>
    <row r="521" spans="1:11" x14ac:dyDescent="0.3">
      <c r="A521" s="15" t="s">
        <v>501</v>
      </c>
      <c r="B521" s="15">
        <v>4</v>
      </c>
      <c r="C521" s="15" t="s">
        <v>506</v>
      </c>
      <c r="D521" s="15">
        <v>5</v>
      </c>
      <c r="E521" s="15">
        <v>1</v>
      </c>
      <c r="F521" s="15">
        <v>5496</v>
      </c>
      <c r="G521" s="16">
        <v>33.25</v>
      </c>
      <c r="H521" s="15">
        <f t="shared" si="8"/>
        <v>166</v>
      </c>
      <c r="I521" s="15">
        <v>72</v>
      </c>
      <c r="J521" s="15" t="b">
        <v>0</v>
      </c>
      <c r="K521" s="15" t="b">
        <v>1</v>
      </c>
    </row>
    <row r="522" spans="1:11" x14ac:dyDescent="0.3">
      <c r="A522" s="15" t="s">
        <v>501</v>
      </c>
      <c r="B522" s="15">
        <v>4</v>
      </c>
      <c r="C522" s="15" t="s">
        <v>506</v>
      </c>
      <c r="D522" s="15">
        <v>5</v>
      </c>
      <c r="E522" s="15">
        <v>2</v>
      </c>
      <c r="F522" s="15">
        <v>5578</v>
      </c>
      <c r="G522" s="16">
        <v>33.25</v>
      </c>
      <c r="H522" s="15">
        <f t="shared" si="8"/>
        <v>168</v>
      </c>
      <c r="I522" s="15">
        <v>72</v>
      </c>
      <c r="J522" s="15" t="b">
        <v>0</v>
      </c>
      <c r="K522" s="15" t="b">
        <v>1</v>
      </c>
    </row>
    <row r="523" spans="1:11" x14ac:dyDescent="0.3">
      <c r="A523" s="15" t="s">
        <v>501</v>
      </c>
      <c r="B523" s="15">
        <v>4</v>
      </c>
      <c r="C523" s="15" t="s">
        <v>506</v>
      </c>
      <c r="D523" s="15">
        <v>5</v>
      </c>
      <c r="E523" s="15">
        <v>3</v>
      </c>
      <c r="F523" s="15">
        <v>5642</v>
      </c>
      <c r="G523" s="16">
        <v>33.25</v>
      </c>
      <c r="H523" s="15">
        <f t="shared" si="8"/>
        <v>170</v>
      </c>
      <c r="I523" s="15">
        <v>72</v>
      </c>
      <c r="J523" s="15" t="b">
        <v>0</v>
      </c>
      <c r="K523" s="15" t="b">
        <v>1</v>
      </c>
    </row>
    <row r="524" spans="1:11" x14ac:dyDescent="0.3">
      <c r="A524" s="15" t="s">
        <v>501</v>
      </c>
      <c r="B524" s="15">
        <v>4</v>
      </c>
      <c r="C524" s="15" t="s">
        <v>507</v>
      </c>
      <c r="D524" s="15">
        <v>1</v>
      </c>
      <c r="E524" s="15">
        <v>1</v>
      </c>
      <c r="F524" s="15">
        <v>2733</v>
      </c>
      <c r="G524" s="16">
        <v>32.159999999999997</v>
      </c>
      <c r="H524" s="15">
        <f t="shared" si="8"/>
        <v>85</v>
      </c>
      <c r="I524" s="15">
        <v>49</v>
      </c>
      <c r="J524" s="15" t="b">
        <v>1</v>
      </c>
      <c r="K524" s="15" t="b">
        <v>1</v>
      </c>
    </row>
    <row r="525" spans="1:11" x14ac:dyDescent="0.3">
      <c r="A525" s="15" t="s">
        <v>501</v>
      </c>
      <c r="B525" s="15">
        <v>4</v>
      </c>
      <c r="C525" s="15" t="s">
        <v>507</v>
      </c>
      <c r="D525" s="15">
        <v>1</v>
      </c>
      <c r="E525" s="15">
        <v>2</v>
      </c>
      <c r="F525" s="15">
        <v>2414</v>
      </c>
      <c r="G525" s="16">
        <v>32.159999999999997</v>
      </c>
      <c r="H525" s="15">
        <f t="shared" si="8"/>
        <v>76</v>
      </c>
      <c r="I525" s="15">
        <v>49</v>
      </c>
      <c r="J525" s="15" t="b">
        <v>1</v>
      </c>
      <c r="K525" s="15" t="b">
        <v>1</v>
      </c>
    </row>
    <row r="526" spans="1:11" x14ac:dyDescent="0.3">
      <c r="A526" s="15" t="s">
        <v>501</v>
      </c>
      <c r="B526" s="15">
        <v>4</v>
      </c>
      <c r="C526" s="15" t="s">
        <v>507</v>
      </c>
      <c r="D526" s="15">
        <v>1</v>
      </c>
      <c r="E526" s="15">
        <v>3</v>
      </c>
      <c r="F526" s="15">
        <v>2593</v>
      </c>
      <c r="G526" s="16">
        <v>32.159999999999997</v>
      </c>
      <c r="H526" s="15">
        <f t="shared" si="8"/>
        <v>81</v>
      </c>
      <c r="I526" s="15">
        <v>49</v>
      </c>
      <c r="J526" s="15" t="b">
        <v>1</v>
      </c>
      <c r="K526" s="15" t="b">
        <v>1</v>
      </c>
    </row>
    <row r="527" spans="1:11" x14ac:dyDescent="0.3">
      <c r="A527" s="15" t="s">
        <v>501</v>
      </c>
      <c r="B527" s="15">
        <v>4</v>
      </c>
      <c r="C527" s="15" t="s">
        <v>507</v>
      </c>
      <c r="D527" s="15">
        <v>2</v>
      </c>
      <c r="E527" s="15">
        <v>1</v>
      </c>
      <c r="F527" s="15">
        <v>7223</v>
      </c>
      <c r="G527" s="16">
        <v>32.159999999999997</v>
      </c>
      <c r="H527" s="15">
        <f t="shared" si="8"/>
        <v>225</v>
      </c>
      <c r="I527" s="15">
        <v>94</v>
      </c>
      <c r="J527" s="15" t="b">
        <v>1</v>
      </c>
      <c r="K527" s="15" t="b">
        <v>1</v>
      </c>
    </row>
    <row r="528" spans="1:11" x14ac:dyDescent="0.3">
      <c r="A528" s="15" t="s">
        <v>501</v>
      </c>
      <c r="B528" s="15">
        <v>4</v>
      </c>
      <c r="C528" s="15" t="s">
        <v>507</v>
      </c>
      <c r="D528" s="15">
        <v>2</v>
      </c>
      <c r="E528" s="15">
        <v>2</v>
      </c>
      <c r="F528" s="15">
        <v>6547</v>
      </c>
      <c r="G528" s="16">
        <v>32.159999999999997</v>
      </c>
      <c r="H528" s="15">
        <f t="shared" si="8"/>
        <v>204</v>
      </c>
      <c r="I528" s="15">
        <v>94</v>
      </c>
      <c r="J528" s="15" t="b">
        <v>1</v>
      </c>
      <c r="K528" s="15" t="b">
        <v>1</v>
      </c>
    </row>
    <row r="529" spans="1:11" x14ac:dyDescent="0.3">
      <c r="A529" s="15" t="s">
        <v>501</v>
      </c>
      <c r="B529" s="15">
        <v>4</v>
      </c>
      <c r="C529" s="15" t="s">
        <v>507</v>
      </c>
      <c r="D529" s="15">
        <v>2</v>
      </c>
      <c r="E529" s="15">
        <v>3</v>
      </c>
      <c r="F529" s="15">
        <v>6838</v>
      </c>
      <c r="G529" s="16">
        <v>32.159999999999997</v>
      </c>
      <c r="H529" s="15">
        <f t="shared" si="8"/>
        <v>213</v>
      </c>
      <c r="I529" s="15">
        <v>94</v>
      </c>
      <c r="J529" s="15" t="b">
        <v>1</v>
      </c>
      <c r="K529" s="15" t="b">
        <v>1</v>
      </c>
    </row>
    <row r="530" spans="1:11" x14ac:dyDescent="0.3">
      <c r="A530" s="15" t="s">
        <v>501</v>
      </c>
      <c r="B530" s="15">
        <v>4</v>
      </c>
      <c r="C530" s="15" t="s">
        <v>507</v>
      </c>
      <c r="D530" s="15">
        <v>3</v>
      </c>
      <c r="E530" s="15">
        <v>1</v>
      </c>
      <c r="F530" s="15">
        <v>3710</v>
      </c>
      <c r="G530" s="16">
        <v>32.159999999999997</v>
      </c>
      <c r="H530" s="15">
        <f t="shared" si="8"/>
        <v>116</v>
      </c>
      <c r="I530" s="15">
        <v>45</v>
      </c>
      <c r="J530" s="15" t="b">
        <v>1</v>
      </c>
      <c r="K530" s="15" t="b">
        <v>1</v>
      </c>
    </row>
    <row r="531" spans="1:11" x14ac:dyDescent="0.3">
      <c r="A531" s="15" t="s">
        <v>501</v>
      </c>
      <c r="B531" s="15">
        <v>4</v>
      </c>
      <c r="C531" s="15" t="s">
        <v>507</v>
      </c>
      <c r="D531" s="15">
        <v>3</v>
      </c>
      <c r="E531" s="15">
        <v>2</v>
      </c>
      <c r="F531" s="15">
        <v>3433</v>
      </c>
      <c r="G531" s="16">
        <v>32.159999999999997</v>
      </c>
      <c r="H531" s="15">
        <f t="shared" si="8"/>
        <v>107</v>
      </c>
      <c r="I531" s="15">
        <v>45</v>
      </c>
      <c r="J531" s="15" t="b">
        <v>1</v>
      </c>
      <c r="K531" s="15" t="b">
        <v>1</v>
      </c>
    </row>
    <row r="532" spans="1:11" x14ac:dyDescent="0.3">
      <c r="A532" s="15" t="s">
        <v>501</v>
      </c>
      <c r="B532" s="15">
        <v>4</v>
      </c>
      <c r="C532" s="15" t="s">
        <v>507</v>
      </c>
      <c r="D532" s="15">
        <v>3</v>
      </c>
      <c r="E532" s="15">
        <v>3</v>
      </c>
      <c r="F532" s="15">
        <v>3464</v>
      </c>
      <c r="G532" s="16">
        <v>32.159999999999997</v>
      </c>
      <c r="H532" s="15">
        <f t="shared" si="8"/>
        <v>108</v>
      </c>
      <c r="I532" s="15">
        <v>45</v>
      </c>
      <c r="J532" s="15" t="b">
        <v>1</v>
      </c>
      <c r="K532" s="15" t="b">
        <v>1</v>
      </c>
    </row>
    <row r="533" spans="1:11" x14ac:dyDescent="0.3">
      <c r="A533" s="15" t="s">
        <v>501</v>
      </c>
      <c r="B533" s="15">
        <v>4</v>
      </c>
      <c r="C533" s="15" t="s">
        <v>507</v>
      </c>
      <c r="D533" s="15">
        <v>4</v>
      </c>
      <c r="E533" s="15">
        <v>1</v>
      </c>
      <c r="F533" s="15">
        <v>1680</v>
      </c>
      <c r="G533" s="16">
        <v>32.159999999999997</v>
      </c>
      <c r="H533" s="15">
        <f t="shared" si="8"/>
        <v>53</v>
      </c>
      <c r="I533" s="15">
        <v>16</v>
      </c>
      <c r="J533" s="15" t="b">
        <v>0</v>
      </c>
      <c r="K533" s="15" t="b">
        <v>1</v>
      </c>
    </row>
    <row r="534" spans="1:11" x14ac:dyDescent="0.3">
      <c r="A534" s="15" t="s">
        <v>501</v>
      </c>
      <c r="B534" s="15">
        <v>4</v>
      </c>
      <c r="C534" s="15" t="s">
        <v>507</v>
      </c>
      <c r="D534" s="15">
        <v>4</v>
      </c>
      <c r="E534" s="15">
        <v>2</v>
      </c>
      <c r="F534" s="15">
        <v>1491</v>
      </c>
      <c r="G534" s="16">
        <v>32.159999999999997</v>
      </c>
      <c r="H534" s="15">
        <f t="shared" si="8"/>
        <v>47</v>
      </c>
      <c r="I534" s="15">
        <v>16</v>
      </c>
      <c r="J534" s="15" t="b">
        <v>0</v>
      </c>
      <c r="K534" s="15" t="b">
        <v>1</v>
      </c>
    </row>
    <row r="535" spans="1:11" x14ac:dyDescent="0.3">
      <c r="A535" s="15" t="s">
        <v>501</v>
      </c>
      <c r="B535" s="15">
        <v>4</v>
      </c>
      <c r="C535" s="15" t="s">
        <v>507</v>
      </c>
      <c r="D535" s="15">
        <v>4</v>
      </c>
      <c r="E535" s="15">
        <v>3</v>
      </c>
      <c r="F535" s="15">
        <v>1599</v>
      </c>
      <c r="G535" s="16">
        <v>32.159999999999997</v>
      </c>
      <c r="H535" s="15">
        <f t="shared" si="8"/>
        <v>50</v>
      </c>
      <c r="I535" s="15">
        <v>16</v>
      </c>
      <c r="J535" s="15" t="b">
        <v>0</v>
      </c>
      <c r="K535" s="15" t="b">
        <v>1</v>
      </c>
    </row>
    <row r="536" spans="1:11" x14ac:dyDescent="0.3">
      <c r="A536" s="15" t="s">
        <v>501</v>
      </c>
      <c r="B536" s="15">
        <v>4</v>
      </c>
      <c r="C536" s="15" t="s">
        <v>507</v>
      </c>
      <c r="D536" s="15">
        <v>5</v>
      </c>
      <c r="E536" s="15">
        <v>1</v>
      </c>
      <c r="F536" s="15">
        <v>1378</v>
      </c>
      <c r="G536" s="16">
        <v>32.159999999999997</v>
      </c>
      <c r="H536" s="15">
        <f t="shared" si="8"/>
        <v>43</v>
      </c>
      <c r="I536" s="15">
        <v>16</v>
      </c>
      <c r="J536" s="15" t="b">
        <v>0</v>
      </c>
      <c r="K536" s="15" t="b">
        <v>1</v>
      </c>
    </row>
    <row r="537" spans="1:11" x14ac:dyDescent="0.3">
      <c r="A537" s="15" t="s">
        <v>501</v>
      </c>
      <c r="B537" s="15">
        <v>4</v>
      </c>
      <c r="C537" s="15" t="s">
        <v>507</v>
      </c>
      <c r="D537" s="15">
        <v>5</v>
      </c>
      <c r="E537" s="15">
        <v>2</v>
      </c>
      <c r="F537" s="15">
        <v>1385</v>
      </c>
      <c r="G537" s="16">
        <v>32.159999999999997</v>
      </c>
      <c r="H537" s="15">
        <f t="shared" si="8"/>
        <v>44</v>
      </c>
      <c r="I537" s="15">
        <v>16</v>
      </c>
      <c r="J537" s="15" t="b">
        <v>0</v>
      </c>
      <c r="K537" s="15" t="b">
        <v>1</v>
      </c>
    </row>
    <row r="538" spans="1:11" x14ac:dyDescent="0.3">
      <c r="A538" s="15" t="s">
        <v>501</v>
      </c>
      <c r="B538" s="15">
        <v>4</v>
      </c>
      <c r="C538" s="15" t="s">
        <v>507</v>
      </c>
      <c r="D538" s="15">
        <v>5</v>
      </c>
      <c r="E538" s="15">
        <v>3</v>
      </c>
      <c r="F538" s="15">
        <v>1349</v>
      </c>
      <c r="G538" s="16">
        <v>32.159999999999997</v>
      </c>
      <c r="H538" s="15">
        <f t="shared" si="8"/>
        <v>42</v>
      </c>
      <c r="I538" s="15">
        <v>16</v>
      </c>
      <c r="J538" s="15" t="b">
        <v>0</v>
      </c>
      <c r="K538" s="15" t="b">
        <v>1</v>
      </c>
    </row>
    <row r="539" spans="1:11" x14ac:dyDescent="0.3">
      <c r="A539" s="15" t="s">
        <v>501</v>
      </c>
      <c r="B539" s="15">
        <v>4</v>
      </c>
      <c r="C539" s="15" t="s">
        <v>508</v>
      </c>
      <c r="D539" s="15">
        <v>1</v>
      </c>
      <c r="E539" s="15">
        <v>1</v>
      </c>
      <c r="F539" s="15">
        <v>724</v>
      </c>
      <c r="G539" s="16">
        <v>31.32</v>
      </c>
      <c r="H539" s="15">
        <f t="shared" si="8"/>
        <v>24</v>
      </c>
      <c r="I539" s="15">
        <v>16</v>
      </c>
      <c r="J539" s="15" t="b">
        <v>1</v>
      </c>
      <c r="K539" s="15" t="b">
        <v>1</v>
      </c>
    </row>
    <row r="540" spans="1:11" x14ac:dyDescent="0.3">
      <c r="A540" s="15" t="s">
        <v>501</v>
      </c>
      <c r="B540" s="15">
        <v>4</v>
      </c>
      <c r="C540" s="15" t="s">
        <v>508</v>
      </c>
      <c r="D540" s="15">
        <v>1</v>
      </c>
      <c r="E540" s="15">
        <v>2</v>
      </c>
      <c r="F540" s="15">
        <v>690</v>
      </c>
      <c r="G540" s="16">
        <v>31.32</v>
      </c>
      <c r="H540" s="15">
        <f t="shared" si="8"/>
        <v>23</v>
      </c>
      <c r="I540" s="15">
        <v>16</v>
      </c>
      <c r="J540" s="15" t="b">
        <v>1</v>
      </c>
      <c r="K540" s="15" t="b">
        <v>1</v>
      </c>
    </row>
    <row r="541" spans="1:11" x14ac:dyDescent="0.3">
      <c r="A541" s="15" t="s">
        <v>501</v>
      </c>
      <c r="B541" s="15">
        <v>4</v>
      </c>
      <c r="C541" s="15" t="s">
        <v>508</v>
      </c>
      <c r="D541" s="15">
        <v>1</v>
      </c>
      <c r="E541" s="15">
        <v>3</v>
      </c>
      <c r="F541" s="15">
        <v>669</v>
      </c>
      <c r="G541" s="16">
        <v>31.32</v>
      </c>
      <c r="H541" s="15">
        <f t="shared" si="8"/>
        <v>22</v>
      </c>
      <c r="I541" s="15">
        <v>16</v>
      </c>
      <c r="J541" s="15" t="b">
        <v>1</v>
      </c>
      <c r="K541" s="15" t="b">
        <v>1</v>
      </c>
    </row>
    <row r="542" spans="1:11" x14ac:dyDescent="0.3">
      <c r="A542" s="15" t="s">
        <v>501</v>
      </c>
      <c r="B542" s="15">
        <v>4</v>
      </c>
      <c r="C542" s="15" t="s">
        <v>508</v>
      </c>
      <c r="D542" s="15">
        <v>2</v>
      </c>
      <c r="E542" s="15">
        <v>1</v>
      </c>
      <c r="F542" s="15">
        <v>2817</v>
      </c>
      <c r="G542" s="16">
        <v>31.32</v>
      </c>
      <c r="H542" s="15">
        <f t="shared" si="8"/>
        <v>90</v>
      </c>
      <c r="I542" s="15">
        <v>48</v>
      </c>
      <c r="J542" s="15" t="b">
        <v>1</v>
      </c>
      <c r="K542" s="15" t="b">
        <v>1</v>
      </c>
    </row>
    <row r="543" spans="1:11" x14ac:dyDescent="0.3">
      <c r="A543" s="15" t="s">
        <v>501</v>
      </c>
      <c r="B543" s="15">
        <v>4</v>
      </c>
      <c r="C543" s="15" t="s">
        <v>508</v>
      </c>
      <c r="D543" s="15">
        <v>2</v>
      </c>
      <c r="E543" s="15">
        <v>2</v>
      </c>
      <c r="F543" s="15">
        <v>2647</v>
      </c>
      <c r="G543" s="16">
        <v>31.32</v>
      </c>
      <c r="H543" s="15">
        <f t="shared" si="8"/>
        <v>85</v>
      </c>
      <c r="I543" s="15">
        <v>48</v>
      </c>
      <c r="J543" s="15" t="b">
        <v>1</v>
      </c>
      <c r="K543" s="15" t="b">
        <v>1</v>
      </c>
    </row>
    <row r="544" spans="1:11" x14ac:dyDescent="0.3">
      <c r="A544" s="15" t="s">
        <v>501</v>
      </c>
      <c r="B544" s="15">
        <v>4</v>
      </c>
      <c r="C544" s="15" t="s">
        <v>508</v>
      </c>
      <c r="D544" s="15">
        <v>2</v>
      </c>
      <c r="E544" s="15">
        <v>3</v>
      </c>
      <c r="F544" s="15">
        <v>2737</v>
      </c>
      <c r="G544" s="16">
        <v>31.32</v>
      </c>
      <c r="H544" s="15">
        <f t="shared" si="8"/>
        <v>88</v>
      </c>
      <c r="I544" s="15">
        <v>48</v>
      </c>
      <c r="J544" s="15" t="b">
        <v>1</v>
      </c>
      <c r="K544" s="15" t="b">
        <v>1</v>
      </c>
    </row>
    <row r="545" spans="1:11" x14ac:dyDescent="0.3">
      <c r="A545" s="15" t="s">
        <v>501</v>
      </c>
      <c r="B545" s="15">
        <v>4</v>
      </c>
      <c r="C545" s="15" t="s">
        <v>508</v>
      </c>
      <c r="D545" s="15">
        <v>3</v>
      </c>
      <c r="E545" s="15">
        <v>1</v>
      </c>
      <c r="F545" s="15">
        <v>9280</v>
      </c>
      <c r="G545" s="16">
        <v>31.32</v>
      </c>
      <c r="H545" s="15">
        <f t="shared" si="8"/>
        <v>297</v>
      </c>
      <c r="I545" s="15">
        <v>101</v>
      </c>
      <c r="J545" s="15" t="b">
        <v>1</v>
      </c>
      <c r="K545" s="15" t="b">
        <v>1</v>
      </c>
    </row>
    <row r="546" spans="1:11" x14ac:dyDescent="0.3">
      <c r="A546" s="15" t="s">
        <v>501</v>
      </c>
      <c r="B546" s="15">
        <v>4</v>
      </c>
      <c r="C546" s="15" t="s">
        <v>508</v>
      </c>
      <c r="D546" s="15">
        <v>3</v>
      </c>
      <c r="E546" s="15">
        <v>2</v>
      </c>
      <c r="F546" s="15">
        <v>8238</v>
      </c>
      <c r="G546" s="16">
        <v>31.32</v>
      </c>
      <c r="H546" s="15">
        <f t="shared" si="8"/>
        <v>264</v>
      </c>
      <c r="I546" s="15">
        <v>101</v>
      </c>
      <c r="J546" s="15" t="b">
        <v>1</v>
      </c>
      <c r="K546" s="15" t="b">
        <v>1</v>
      </c>
    </row>
    <row r="547" spans="1:11" x14ac:dyDescent="0.3">
      <c r="A547" s="15" t="s">
        <v>501</v>
      </c>
      <c r="B547" s="15">
        <v>4</v>
      </c>
      <c r="C547" s="15" t="s">
        <v>508</v>
      </c>
      <c r="D547" s="15">
        <v>3</v>
      </c>
      <c r="E547" s="15">
        <v>3</v>
      </c>
      <c r="F547" s="15">
        <v>8027</v>
      </c>
      <c r="G547" s="16">
        <v>31.32</v>
      </c>
      <c r="H547" s="15">
        <f t="shared" si="8"/>
        <v>257</v>
      </c>
      <c r="I547" s="15">
        <v>101</v>
      </c>
      <c r="J547" s="15" t="b">
        <v>1</v>
      </c>
      <c r="K547" s="15" t="b">
        <v>1</v>
      </c>
    </row>
    <row r="548" spans="1:11" x14ac:dyDescent="0.3">
      <c r="A548" s="15" t="s">
        <v>501</v>
      </c>
      <c r="B548" s="15">
        <v>4</v>
      </c>
      <c r="C548" s="15" t="s">
        <v>508</v>
      </c>
      <c r="D548" s="15">
        <v>4</v>
      </c>
      <c r="E548" s="15">
        <v>1</v>
      </c>
      <c r="F548" s="15">
        <v>2696</v>
      </c>
      <c r="G548" s="16">
        <v>31.32</v>
      </c>
      <c r="H548" s="15">
        <f t="shared" si="8"/>
        <v>87</v>
      </c>
      <c r="I548" s="15">
        <v>25</v>
      </c>
      <c r="J548" s="15" t="b">
        <v>0</v>
      </c>
      <c r="K548" s="15" t="b">
        <v>1</v>
      </c>
    </row>
    <row r="549" spans="1:11" x14ac:dyDescent="0.3">
      <c r="A549" s="15" t="s">
        <v>501</v>
      </c>
      <c r="B549" s="15">
        <v>4</v>
      </c>
      <c r="C549" s="15" t="s">
        <v>508</v>
      </c>
      <c r="D549" s="15">
        <v>4</v>
      </c>
      <c r="E549" s="15">
        <v>2</v>
      </c>
      <c r="F549" s="15">
        <v>2640</v>
      </c>
      <c r="G549" s="16">
        <v>31.32</v>
      </c>
      <c r="H549" s="15">
        <f t="shared" si="8"/>
        <v>85</v>
      </c>
      <c r="I549" s="15">
        <v>25</v>
      </c>
      <c r="J549" s="15" t="b">
        <v>0</v>
      </c>
      <c r="K549" s="15" t="b">
        <v>1</v>
      </c>
    </row>
    <row r="550" spans="1:11" x14ac:dyDescent="0.3">
      <c r="A550" s="15" t="s">
        <v>501</v>
      </c>
      <c r="B550" s="15">
        <v>4</v>
      </c>
      <c r="C550" s="15" t="s">
        <v>508</v>
      </c>
      <c r="D550" s="15">
        <v>4</v>
      </c>
      <c r="E550" s="15">
        <v>3</v>
      </c>
      <c r="F550" s="15">
        <v>2466</v>
      </c>
      <c r="G550" s="16">
        <v>31.32</v>
      </c>
      <c r="H550" s="15">
        <f t="shared" si="8"/>
        <v>79</v>
      </c>
      <c r="I550" s="15">
        <v>25</v>
      </c>
      <c r="J550" s="15" t="b">
        <v>0</v>
      </c>
      <c r="K550" s="15" t="b">
        <v>1</v>
      </c>
    </row>
    <row r="551" spans="1:11" x14ac:dyDescent="0.3">
      <c r="A551" s="15" t="s">
        <v>501</v>
      </c>
      <c r="B551" s="15">
        <v>4</v>
      </c>
      <c r="C551" s="15" t="s">
        <v>508</v>
      </c>
      <c r="D551" s="15">
        <v>5</v>
      </c>
      <c r="E551" s="15">
        <v>1</v>
      </c>
      <c r="F551" s="15">
        <v>3329</v>
      </c>
      <c r="G551" s="16">
        <v>31.32</v>
      </c>
      <c r="H551" s="15">
        <f t="shared" si="8"/>
        <v>107</v>
      </c>
      <c r="I551" s="15">
        <v>39</v>
      </c>
      <c r="J551" s="15" t="b">
        <v>0</v>
      </c>
      <c r="K551" s="15" t="b">
        <v>1</v>
      </c>
    </row>
    <row r="552" spans="1:11" x14ac:dyDescent="0.3">
      <c r="A552" s="15" t="s">
        <v>501</v>
      </c>
      <c r="B552" s="15">
        <v>4</v>
      </c>
      <c r="C552" s="15" t="s">
        <v>508</v>
      </c>
      <c r="D552" s="15">
        <v>5</v>
      </c>
      <c r="E552" s="15">
        <v>2</v>
      </c>
      <c r="F552" s="15">
        <v>3321</v>
      </c>
      <c r="G552" s="16">
        <v>31.32</v>
      </c>
      <c r="H552" s="15">
        <f t="shared" si="8"/>
        <v>107</v>
      </c>
      <c r="I552" s="15">
        <v>39</v>
      </c>
      <c r="J552" s="15" t="b">
        <v>0</v>
      </c>
      <c r="K552" s="15" t="b">
        <v>1</v>
      </c>
    </row>
    <row r="553" spans="1:11" x14ac:dyDescent="0.3">
      <c r="A553" s="15" t="s">
        <v>501</v>
      </c>
      <c r="B553" s="15">
        <v>4</v>
      </c>
      <c r="C553" s="15" t="s">
        <v>508</v>
      </c>
      <c r="D553" s="15">
        <v>5</v>
      </c>
      <c r="E553" s="15">
        <v>3</v>
      </c>
      <c r="F553" s="15">
        <v>3426</v>
      </c>
      <c r="G553" s="16">
        <v>31.32</v>
      </c>
      <c r="H553" s="15">
        <f t="shared" si="8"/>
        <v>110</v>
      </c>
      <c r="I553" s="15">
        <v>39</v>
      </c>
      <c r="J553" s="15" t="b">
        <v>0</v>
      </c>
      <c r="K553" s="15" t="b">
        <v>1</v>
      </c>
    </row>
    <row r="554" spans="1:11" x14ac:dyDescent="0.3">
      <c r="A554" s="15" t="s">
        <v>501</v>
      </c>
      <c r="B554" s="15">
        <v>4</v>
      </c>
      <c r="C554" s="15" t="s">
        <v>509</v>
      </c>
      <c r="D554" s="15">
        <v>1</v>
      </c>
      <c r="E554" s="15">
        <v>1</v>
      </c>
      <c r="F554" s="15">
        <v>9182</v>
      </c>
      <c r="G554" s="16">
        <v>33.49</v>
      </c>
      <c r="H554" s="15">
        <f t="shared" si="8"/>
        <v>275</v>
      </c>
      <c r="I554" s="15">
        <v>130</v>
      </c>
      <c r="J554" s="15" t="b">
        <v>1</v>
      </c>
      <c r="K554" s="15" t="b">
        <v>1</v>
      </c>
    </row>
    <row r="555" spans="1:11" x14ac:dyDescent="0.3">
      <c r="A555" s="15" t="s">
        <v>501</v>
      </c>
      <c r="B555" s="15">
        <v>4</v>
      </c>
      <c r="C555" s="15" t="s">
        <v>509</v>
      </c>
      <c r="D555" s="15">
        <v>1</v>
      </c>
      <c r="E555" s="15">
        <v>2</v>
      </c>
      <c r="F555" s="15">
        <v>8371</v>
      </c>
      <c r="G555" s="16">
        <v>33.49</v>
      </c>
      <c r="H555" s="15">
        <f t="shared" si="8"/>
        <v>250</v>
      </c>
      <c r="I555" s="15">
        <v>130</v>
      </c>
      <c r="J555" s="15" t="b">
        <v>1</v>
      </c>
      <c r="K555" s="15" t="b">
        <v>1</v>
      </c>
    </row>
    <row r="556" spans="1:11" x14ac:dyDescent="0.3">
      <c r="A556" s="15" t="s">
        <v>501</v>
      </c>
      <c r="B556" s="15">
        <v>4</v>
      </c>
      <c r="C556" s="15" t="s">
        <v>509</v>
      </c>
      <c r="D556" s="15">
        <v>1</v>
      </c>
      <c r="E556" s="15">
        <v>3</v>
      </c>
      <c r="F556" s="15">
        <v>8351</v>
      </c>
      <c r="G556" s="16">
        <v>33.49</v>
      </c>
      <c r="H556" s="15">
        <f t="shared" si="8"/>
        <v>250</v>
      </c>
      <c r="I556" s="15">
        <v>130</v>
      </c>
      <c r="J556" s="15" t="b">
        <v>1</v>
      </c>
      <c r="K556" s="15" t="b">
        <v>1</v>
      </c>
    </row>
    <row r="557" spans="1:11" x14ac:dyDescent="0.3">
      <c r="A557" s="15" t="s">
        <v>501</v>
      </c>
      <c r="B557" s="15">
        <v>4</v>
      </c>
      <c r="C557" s="15" t="s">
        <v>509</v>
      </c>
      <c r="D557" s="15">
        <v>2</v>
      </c>
      <c r="E557" s="15">
        <v>1</v>
      </c>
      <c r="F557" s="15">
        <v>8132</v>
      </c>
      <c r="G557" s="16">
        <v>33.49</v>
      </c>
      <c r="H557" s="15">
        <f t="shared" si="8"/>
        <v>243</v>
      </c>
      <c r="I557" s="15">
        <v>118</v>
      </c>
      <c r="J557" s="15" t="b">
        <v>1</v>
      </c>
      <c r="K557" s="15" t="b">
        <v>1</v>
      </c>
    </row>
    <row r="558" spans="1:11" x14ac:dyDescent="0.3">
      <c r="A558" s="15" t="s">
        <v>501</v>
      </c>
      <c r="B558" s="15">
        <v>4</v>
      </c>
      <c r="C558" s="15" t="s">
        <v>509</v>
      </c>
      <c r="D558" s="15">
        <v>2</v>
      </c>
      <c r="E558" s="15">
        <v>2</v>
      </c>
      <c r="F558" s="15">
        <v>7573</v>
      </c>
      <c r="G558" s="16">
        <v>33.49</v>
      </c>
      <c r="H558" s="15">
        <f t="shared" si="8"/>
        <v>227</v>
      </c>
      <c r="I558" s="15">
        <v>118</v>
      </c>
      <c r="J558" s="15" t="b">
        <v>1</v>
      </c>
      <c r="K558" s="15" t="b">
        <v>1</v>
      </c>
    </row>
    <row r="559" spans="1:11" x14ac:dyDescent="0.3">
      <c r="A559" s="15" t="s">
        <v>501</v>
      </c>
      <c r="B559" s="15">
        <v>4</v>
      </c>
      <c r="C559" s="15" t="s">
        <v>509</v>
      </c>
      <c r="D559" s="15">
        <v>2</v>
      </c>
      <c r="E559" s="15">
        <v>3</v>
      </c>
      <c r="F559" s="15">
        <v>7498</v>
      </c>
      <c r="G559" s="16">
        <v>33.49</v>
      </c>
      <c r="H559" s="15">
        <f t="shared" si="8"/>
        <v>224</v>
      </c>
      <c r="I559" s="15">
        <v>118</v>
      </c>
      <c r="J559" s="15" t="b">
        <v>1</v>
      </c>
      <c r="K559" s="15" t="b">
        <v>1</v>
      </c>
    </row>
    <row r="560" spans="1:11" x14ac:dyDescent="0.3">
      <c r="A560" s="15" t="s">
        <v>501</v>
      </c>
      <c r="B560" s="15">
        <v>4</v>
      </c>
      <c r="C560" s="15" t="s">
        <v>509</v>
      </c>
      <c r="D560" s="15">
        <v>3</v>
      </c>
      <c r="E560" s="15">
        <v>1</v>
      </c>
      <c r="F560" s="15">
        <v>1425</v>
      </c>
      <c r="G560" s="16">
        <v>33.49</v>
      </c>
      <c r="H560" s="15">
        <f t="shared" si="8"/>
        <v>43</v>
      </c>
      <c r="I560" s="15">
        <v>19</v>
      </c>
      <c r="J560" s="15" t="b">
        <v>1</v>
      </c>
      <c r="K560" s="15" t="b">
        <v>1</v>
      </c>
    </row>
    <row r="561" spans="1:11" x14ac:dyDescent="0.3">
      <c r="A561" s="15" t="s">
        <v>501</v>
      </c>
      <c r="B561" s="15">
        <v>4</v>
      </c>
      <c r="C561" s="15" t="s">
        <v>509</v>
      </c>
      <c r="D561" s="15">
        <v>3</v>
      </c>
      <c r="E561" s="15">
        <v>2</v>
      </c>
      <c r="F561" s="15">
        <v>1269</v>
      </c>
      <c r="G561" s="16">
        <v>33.49</v>
      </c>
      <c r="H561" s="15">
        <f t="shared" si="8"/>
        <v>38</v>
      </c>
      <c r="I561" s="15">
        <v>19</v>
      </c>
      <c r="J561" s="15" t="b">
        <v>1</v>
      </c>
      <c r="K561" s="15" t="b">
        <v>1</v>
      </c>
    </row>
    <row r="562" spans="1:11" x14ac:dyDescent="0.3">
      <c r="A562" s="15" t="s">
        <v>501</v>
      </c>
      <c r="B562" s="15">
        <v>4</v>
      </c>
      <c r="C562" s="15" t="s">
        <v>509</v>
      </c>
      <c r="D562" s="15">
        <v>3</v>
      </c>
      <c r="E562" s="15">
        <v>3</v>
      </c>
      <c r="F562" s="15">
        <v>1218</v>
      </c>
      <c r="G562" s="16">
        <v>33.49</v>
      </c>
      <c r="H562" s="15">
        <f t="shared" si="8"/>
        <v>37</v>
      </c>
      <c r="I562" s="15">
        <v>19</v>
      </c>
      <c r="J562" s="15" t="b">
        <v>1</v>
      </c>
      <c r="K562" s="15" t="b">
        <v>1</v>
      </c>
    </row>
    <row r="563" spans="1:11" x14ac:dyDescent="0.3">
      <c r="A563" s="15" t="s">
        <v>501</v>
      </c>
      <c r="B563" s="15">
        <v>4</v>
      </c>
      <c r="C563" s="15" t="s">
        <v>509</v>
      </c>
      <c r="D563" s="15">
        <v>4</v>
      </c>
      <c r="E563" s="15">
        <v>1</v>
      </c>
      <c r="F563" s="15">
        <v>575</v>
      </c>
      <c r="G563" s="16">
        <v>33.49</v>
      </c>
      <c r="H563" s="15">
        <f t="shared" si="8"/>
        <v>18</v>
      </c>
      <c r="I563" s="15">
        <v>7</v>
      </c>
      <c r="J563" s="15" t="b">
        <v>0</v>
      </c>
      <c r="K563" s="15" t="b">
        <v>1</v>
      </c>
    </row>
    <row r="564" spans="1:11" x14ac:dyDescent="0.3">
      <c r="A564" s="15" t="s">
        <v>501</v>
      </c>
      <c r="B564" s="15">
        <v>4</v>
      </c>
      <c r="C564" s="15" t="s">
        <v>509</v>
      </c>
      <c r="D564" s="15">
        <v>4</v>
      </c>
      <c r="E564" s="15">
        <v>2</v>
      </c>
      <c r="F564" s="15">
        <v>585</v>
      </c>
      <c r="G564" s="16">
        <v>33.49</v>
      </c>
      <c r="H564" s="15">
        <f t="shared" si="8"/>
        <v>18</v>
      </c>
      <c r="I564" s="15">
        <v>7</v>
      </c>
      <c r="J564" s="15" t="b">
        <v>0</v>
      </c>
      <c r="K564" s="15" t="b">
        <v>1</v>
      </c>
    </row>
    <row r="565" spans="1:11" x14ac:dyDescent="0.3">
      <c r="A565" s="15" t="s">
        <v>501</v>
      </c>
      <c r="B565" s="15">
        <v>4</v>
      </c>
      <c r="C565" s="15" t="s">
        <v>509</v>
      </c>
      <c r="D565" s="15">
        <v>4</v>
      </c>
      <c r="E565" s="15">
        <v>3</v>
      </c>
      <c r="F565" s="15">
        <v>583</v>
      </c>
      <c r="G565" s="16">
        <v>33.49</v>
      </c>
      <c r="H565" s="15">
        <f t="shared" si="8"/>
        <v>18</v>
      </c>
      <c r="I565" s="15">
        <v>7</v>
      </c>
      <c r="J565" s="15" t="b">
        <v>0</v>
      </c>
      <c r="K565" s="15" t="b">
        <v>1</v>
      </c>
    </row>
    <row r="566" spans="1:11" x14ac:dyDescent="0.3">
      <c r="A566" s="15" t="s">
        <v>501</v>
      </c>
      <c r="B566" s="15">
        <v>4</v>
      </c>
      <c r="C566" s="15" t="s">
        <v>510</v>
      </c>
      <c r="D566" s="15">
        <v>1</v>
      </c>
      <c r="E566" s="15">
        <v>1</v>
      </c>
      <c r="F566" s="15">
        <v>90</v>
      </c>
      <c r="G566" s="16">
        <v>31.86</v>
      </c>
      <c r="H566" s="15">
        <f t="shared" si="8"/>
        <v>3</v>
      </c>
      <c r="I566" s="15">
        <v>1</v>
      </c>
      <c r="J566" s="15" t="b">
        <v>1</v>
      </c>
      <c r="K566" s="15" t="b">
        <v>1</v>
      </c>
    </row>
    <row r="567" spans="1:11" x14ac:dyDescent="0.3">
      <c r="A567" s="15" t="s">
        <v>501</v>
      </c>
      <c r="B567" s="15">
        <v>4</v>
      </c>
      <c r="C567" s="15" t="s">
        <v>510</v>
      </c>
      <c r="D567" s="15">
        <v>1</v>
      </c>
      <c r="E567" s="15">
        <v>2</v>
      </c>
      <c r="F567" s="15">
        <v>84</v>
      </c>
      <c r="G567" s="16">
        <v>31.86</v>
      </c>
      <c r="H567" s="15">
        <f t="shared" si="8"/>
        <v>3</v>
      </c>
      <c r="I567" s="15">
        <v>1</v>
      </c>
      <c r="J567" s="15" t="b">
        <v>1</v>
      </c>
      <c r="K567" s="15" t="b">
        <v>1</v>
      </c>
    </row>
    <row r="568" spans="1:11" x14ac:dyDescent="0.3">
      <c r="A568" s="15" t="s">
        <v>501</v>
      </c>
      <c r="B568" s="15">
        <v>4</v>
      </c>
      <c r="C568" s="15" t="s">
        <v>510</v>
      </c>
      <c r="D568" s="15">
        <v>1</v>
      </c>
      <c r="E568" s="15">
        <v>3</v>
      </c>
      <c r="F568" s="15">
        <v>72</v>
      </c>
      <c r="G568" s="16">
        <v>31.86</v>
      </c>
      <c r="H568" s="15">
        <f t="shared" si="8"/>
        <v>3</v>
      </c>
      <c r="I568" s="15">
        <v>1</v>
      </c>
      <c r="J568" s="15" t="b">
        <v>1</v>
      </c>
      <c r="K568" s="15" t="b">
        <v>1</v>
      </c>
    </row>
    <row r="569" spans="1:11" x14ac:dyDescent="0.3">
      <c r="A569" s="15" t="s">
        <v>501</v>
      </c>
      <c r="B569" s="15">
        <v>4</v>
      </c>
      <c r="C569" s="15" t="s">
        <v>510</v>
      </c>
      <c r="D569" s="15">
        <v>2</v>
      </c>
      <c r="E569" s="15">
        <v>1</v>
      </c>
      <c r="F569" s="15">
        <v>1382</v>
      </c>
      <c r="G569" s="16">
        <v>31.86</v>
      </c>
      <c r="H569" s="15">
        <f t="shared" si="8"/>
        <v>44</v>
      </c>
      <c r="I569" s="15">
        <v>12</v>
      </c>
      <c r="J569" s="15" t="b">
        <v>1</v>
      </c>
      <c r="K569" s="15" t="b">
        <v>1</v>
      </c>
    </row>
    <row r="570" spans="1:11" x14ac:dyDescent="0.3">
      <c r="A570" s="15" t="s">
        <v>501</v>
      </c>
      <c r="B570" s="15">
        <v>4</v>
      </c>
      <c r="C570" s="15" t="s">
        <v>510</v>
      </c>
      <c r="D570" s="15">
        <v>2</v>
      </c>
      <c r="E570" s="15">
        <v>2</v>
      </c>
      <c r="F570" s="15">
        <v>1304</v>
      </c>
      <c r="G570" s="16">
        <v>31.86</v>
      </c>
      <c r="H570" s="15">
        <f t="shared" si="8"/>
        <v>41</v>
      </c>
      <c r="I570" s="15">
        <v>12</v>
      </c>
      <c r="J570" s="15" t="b">
        <v>1</v>
      </c>
      <c r="K570" s="15" t="b">
        <v>1</v>
      </c>
    </row>
    <row r="571" spans="1:11" x14ac:dyDescent="0.3">
      <c r="A571" s="15" t="s">
        <v>501</v>
      </c>
      <c r="B571" s="15">
        <v>4</v>
      </c>
      <c r="C571" s="15" t="s">
        <v>510</v>
      </c>
      <c r="D571" s="15">
        <v>2</v>
      </c>
      <c r="E571" s="15">
        <v>3</v>
      </c>
      <c r="F571" s="15">
        <v>1335</v>
      </c>
      <c r="G571" s="16">
        <v>31.86</v>
      </c>
      <c r="H571" s="15">
        <f t="shared" si="8"/>
        <v>42</v>
      </c>
      <c r="I571" s="15">
        <v>12</v>
      </c>
      <c r="J571" s="15" t="b">
        <v>1</v>
      </c>
      <c r="K571" s="15" t="b">
        <v>1</v>
      </c>
    </row>
    <row r="572" spans="1:11" x14ac:dyDescent="0.3">
      <c r="A572" s="15" t="s">
        <v>501</v>
      </c>
      <c r="B572" s="15">
        <v>4</v>
      </c>
      <c r="C572" s="15" t="s">
        <v>510</v>
      </c>
      <c r="D572" s="15">
        <v>3</v>
      </c>
      <c r="E572" s="15">
        <v>1</v>
      </c>
      <c r="F572" s="15">
        <v>8873</v>
      </c>
      <c r="G572" s="16">
        <v>31.86</v>
      </c>
      <c r="H572" s="15">
        <f t="shared" si="8"/>
        <v>279</v>
      </c>
      <c r="I572" s="15">
        <v>76</v>
      </c>
      <c r="J572" s="15" t="b">
        <v>1</v>
      </c>
      <c r="K572" s="15" t="b">
        <v>1</v>
      </c>
    </row>
    <row r="573" spans="1:11" x14ac:dyDescent="0.3">
      <c r="A573" s="15" t="s">
        <v>501</v>
      </c>
      <c r="B573" s="15">
        <v>4</v>
      </c>
      <c r="C573" s="15" t="s">
        <v>510</v>
      </c>
      <c r="D573" s="15">
        <v>3</v>
      </c>
      <c r="E573" s="15">
        <v>2</v>
      </c>
      <c r="F573" s="15">
        <v>8423</v>
      </c>
      <c r="G573" s="16">
        <v>31.86</v>
      </c>
      <c r="H573" s="15">
        <f t="shared" si="8"/>
        <v>265</v>
      </c>
      <c r="I573" s="15">
        <v>76</v>
      </c>
      <c r="J573" s="15" t="b">
        <v>1</v>
      </c>
      <c r="K573" s="15" t="b">
        <v>1</v>
      </c>
    </row>
    <row r="574" spans="1:11" x14ac:dyDescent="0.3">
      <c r="A574" s="15" t="s">
        <v>501</v>
      </c>
      <c r="B574" s="15">
        <v>4</v>
      </c>
      <c r="C574" s="15" t="s">
        <v>510</v>
      </c>
      <c r="D574" s="15">
        <v>3</v>
      </c>
      <c r="E574" s="15">
        <v>3</v>
      </c>
      <c r="F574" s="15">
        <v>8337</v>
      </c>
      <c r="G574" s="16">
        <v>31.86</v>
      </c>
      <c r="H574" s="15">
        <f t="shared" si="8"/>
        <v>262</v>
      </c>
      <c r="I574" s="15">
        <v>76</v>
      </c>
      <c r="J574" s="15" t="b">
        <v>1</v>
      </c>
      <c r="K574" s="15" t="b">
        <v>1</v>
      </c>
    </row>
    <row r="575" spans="1:11" x14ac:dyDescent="0.3">
      <c r="A575" s="15" t="s">
        <v>501</v>
      </c>
      <c r="B575" s="15">
        <v>4</v>
      </c>
      <c r="C575" s="15" t="s">
        <v>510</v>
      </c>
      <c r="D575" s="15">
        <v>4</v>
      </c>
      <c r="E575" s="15">
        <v>1</v>
      </c>
      <c r="F575" s="15">
        <v>9118</v>
      </c>
      <c r="G575" s="16">
        <v>31.86</v>
      </c>
      <c r="H575" s="15">
        <f t="shared" si="8"/>
        <v>287</v>
      </c>
      <c r="I575" s="15">
        <v>91</v>
      </c>
      <c r="J575" s="15" t="b">
        <v>0</v>
      </c>
      <c r="K575" s="15" t="b">
        <v>1</v>
      </c>
    </row>
    <row r="576" spans="1:11" x14ac:dyDescent="0.3">
      <c r="A576" s="15" t="s">
        <v>501</v>
      </c>
      <c r="B576" s="15">
        <v>4</v>
      </c>
      <c r="C576" s="15" t="s">
        <v>510</v>
      </c>
      <c r="D576" s="15">
        <v>4</v>
      </c>
      <c r="E576" s="15">
        <v>2</v>
      </c>
      <c r="F576" s="15">
        <v>8781</v>
      </c>
      <c r="G576" s="16">
        <v>31.86</v>
      </c>
      <c r="H576" s="15">
        <f t="shared" si="8"/>
        <v>276</v>
      </c>
      <c r="I576" s="15">
        <v>91</v>
      </c>
      <c r="J576" s="15" t="b">
        <v>0</v>
      </c>
      <c r="K576" s="15" t="b">
        <v>1</v>
      </c>
    </row>
    <row r="577" spans="1:11" x14ac:dyDescent="0.3">
      <c r="A577" s="15" t="s">
        <v>501</v>
      </c>
      <c r="B577" s="15">
        <v>4</v>
      </c>
      <c r="C577" s="15" t="s">
        <v>510</v>
      </c>
      <c r="D577" s="15">
        <v>4</v>
      </c>
      <c r="E577" s="15">
        <v>3</v>
      </c>
      <c r="F577" s="15">
        <v>8664</v>
      </c>
      <c r="G577" s="16">
        <v>31.86</v>
      </c>
      <c r="H577" s="15">
        <f t="shared" si="8"/>
        <v>272</v>
      </c>
      <c r="I577" s="15">
        <v>91</v>
      </c>
      <c r="J577" s="15" t="b">
        <v>0</v>
      </c>
      <c r="K577" s="15" t="b">
        <v>1</v>
      </c>
    </row>
    <row r="578" spans="1:11" x14ac:dyDescent="0.3">
      <c r="A578" s="15" t="s">
        <v>501</v>
      </c>
      <c r="B578" s="15">
        <v>4</v>
      </c>
      <c r="C578" s="15" t="s">
        <v>510</v>
      </c>
      <c r="D578" s="15">
        <v>5</v>
      </c>
      <c r="E578" s="15">
        <v>1</v>
      </c>
      <c r="F578" s="15">
        <v>11526</v>
      </c>
      <c r="G578" s="16">
        <v>31.86</v>
      </c>
      <c r="H578" s="15">
        <f t="shared" si="8"/>
        <v>362</v>
      </c>
      <c r="I578" s="15">
        <v>119</v>
      </c>
      <c r="J578" s="15" t="b">
        <v>0</v>
      </c>
      <c r="K578" s="15" t="b">
        <v>1</v>
      </c>
    </row>
    <row r="579" spans="1:11" x14ac:dyDescent="0.3">
      <c r="A579" s="15" t="s">
        <v>501</v>
      </c>
      <c r="B579" s="15">
        <v>4</v>
      </c>
      <c r="C579" s="15" t="s">
        <v>510</v>
      </c>
      <c r="D579" s="15">
        <v>5</v>
      </c>
      <c r="E579" s="15">
        <v>2</v>
      </c>
      <c r="F579" s="15">
        <v>11324</v>
      </c>
      <c r="G579" s="16">
        <v>31.86</v>
      </c>
      <c r="H579" s="15">
        <f t="shared" ref="H579:H642" si="9">ROUNDUP(F579/G579,0)</f>
        <v>356</v>
      </c>
      <c r="I579" s="15">
        <v>119</v>
      </c>
      <c r="J579" s="15" t="b">
        <v>0</v>
      </c>
      <c r="K579" s="15" t="b">
        <v>1</v>
      </c>
    </row>
    <row r="580" spans="1:11" x14ac:dyDescent="0.3">
      <c r="A580" s="15" t="s">
        <v>501</v>
      </c>
      <c r="B580" s="15">
        <v>4</v>
      </c>
      <c r="C580" s="15" t="s">
        <v>510</v>
      </c>
      <c r="D580" s="15">
        <v>5</v>
      </c>
      <c r="E580" s="15">
        <v>3</v>
      </c>
      <c r="F580" s="15">
        <v>11528</v>
      </c>
      <c r="G580" s="16">
        <v>31.86</v>
      </c>
      <c r="H580" s="15">
        <f t="shared" si="9"/>
        <v>362</v>
      </c>
      <c r="I580" s="15">
        <v>119</v>
      </c>
      <c r="J580" s="15" t="b">
        <v>0</v>
      </c>
      <c r="K580" s="15" t="b">
        <v>1</v>
      </c>
    </row>
    <row r="581" spans="1:11" x14ac:dyDescent="0.3">
      <c r="A581" s="15" t="s">
        <v>501</v>
      </c>
      <c r="B581" s="15">
        <v>4</v>
      </c>
      <c r="C581" s="15" t="s">
        <v>511</v>
      </c>
      <c r="D581" s="15">
        <v>1</v>
      </c>
      <c r="E581" s="15">
        <v>1</v>
      </c>
      <c r="F581" s="15">
        <v>8933</v>
      </c>
      <c r="G581" s="16">
        <v>32.130000000000003</v>
      </c>
      <c r="H581" s="15">
        <f t="shared" si="9"/>
        <v>279</v>
      </c>
      <c r="I581" s="15">
        <v>160</v>
      </c>
      <c r="J581" s="15" t="b">
        <v>1</v>
      </c>
      <c r="K581" s="15" t="b">
        <v>1</v>
      </c>
    </row>
    <row r="582" spans="1:11" x14ac:dyDescent="0.3">
      <c r="A582" s="15" t="s">
        <v>501</v>
      </c>
      <c r="B582" s="15">
        <v>4</v>
      </c>
      <c r="C582" s="15" t="s">
        <v>511</v>
      </c>
      <c r="D582" s="15">
        <v>1</v>
      </c>
      <c r="E582" s="15">
        <v>2</v>
      </c>
      <c r="F582" s="15">
        <v>8154</v>
      </c>
      <c r="G582" s="16">
        <v>32.130000000000003</v>
      </c>
      <c r="H582" s="15">
        <f t="shared" si="9"/>
        <v>254</v>
      </c>
      <c r="I582" s="15">
        <v>160</v>
      </c>
      <c r="J582" s="15" t="b">
        <v>1</v>
      </c>
      <c r="K582" s="15" t="b">
        <v>1</v>
      </c>
    </row>
    <row r="583" spans="1:11" x14ac:dyDescent="0.3">
      <c r="A583" s="15" t="s">
        <v>501</v>
      </c>
      <c r="B583" s="15">
        <v>4</v>
      </c>
      <c r="C583" s="15" t="s">
        <v>511</v>
      </c>
      <c r="D583" s="15">
        <v>1</v>
      </c>
      <c r="E583" s="15">
        <v>3</v>
      </c>
      <c r="F583" s="15">
        <v>8214</v>
      </c>
      <c r="G583" s="16">
        <v>32.130000000000003</v>
      </c>
      <c r="H583" s="15">
        <f t="shared" si="9"/>
        <v>256</v>
      </c>
      <c r="I583" s="15">
        <v>160</v>
      </c>
      <c r="J583" s="15" t="b">
        <v>1</v>
      </c>
      <c r="K583" s="15" t="b">
        <v>1</v>
      </c>
    </row>
    <row r="584" spans="1:11" x14ac:dyDescent="0.3">
      <c r="A584" s="15" t="s">
        <v>501</v>
      </c>
      <c r="B584" s="15">
        <v>4</v>
      </c>
      <c r="C584" s="15" t="s">
        <v>511</v>
      </c>
      <c r="D584" s="15">
        <v>2</v>
      </c>
      <c r="E584" s="15">
        <v>1</v>
      </c>
      <c r="F584" s="15">
        <v>2814</v>
      </c>
      <c r="G584" s="16">
        <v>32.130000000000003</v>
      </c>
      <c r="H584" s="15">
        <f t="shared" si="9"/>
        <v>88</v>
      </c>
      <c r="I584" s="15">
        <v>39</v>
      </c>
      <c r="J584" s="15" t="b">
        <v>1</v>
      </c>
      <c r="K584" s="15" t="b">
        <v>1</v>
      </c>
    </row>
    <row r="585" spans="1:11" x14ac:dyDescent="0.3">
      <c r="A585" s="15" t="s">
        <v>501</v>
      </c>
      <c r="B585" s="15">
        <v>4</v>
      </c>
      <c r="C585" s="15" t="s">
        <v>511</v>
      </c>
      <c r="D585" s="15">
        <v>2</v>
      </c>
      <c r="E585" s="15">
        <v>2</v>
      </c>
      <c r="F585" s="15">
        <v>2649</v>
      </c>
      <c r="G585" s="16">
        <v>32.130000000000003</v>
      </c>
      <c r="H585" s="15">
        <f t="shared" si="9"/>
        <v>83</v>
      </c>
      <c r="I585" s="15">
        <v>39</v>
      </c>
      <c r="J585" s="15" t="b">
        <v>1</v>
      </c>
      <c r="K585" s="15" t="b">
        <v>1</v>
      </c>
    </row>
    <row r="586" spans="1:11" x14ac:dyDescent="0.3">
      <c r="A586" s="15" t="s">
        <v>501</v>
      </c>
      <c r="B586" s="15">
        <v>4</v>
      </c>
      <c r="C586" s="15" t="s">
        <v>511</v>
      </c>
      <c r="D586" s="15">
        <v>2</v>
      </c>
      <c r="E586" s="15">
        <v>3</v>
      </c>
      <c r="F586" s="15">
        <v>2578</v>
      </c>
      <c r="G586" s="16">
        <v>32.130000000000003</v>
      </c>
      <c r="H586" s="15">
        <f t="shared" si="9"/>
        <v>81</v>
      </c>
      <c r="I586" s="15">
        <v>39</v>
      </c>
      <c r="J586" s="15" t="b">
        <v>1</v>
      </c>
      <c r="K586" s="15" t="b">
        <v>1</v>
      </c>
    </row>
    <row r="587" spans="1:11" x14ac:dyDescent="0.3">
      <c r="A587" s="15" t="s">
        <v>501</v>
      </c>
      <c r="B587" s="15">
        <v>4</v>
      </c>
      <c r="C587" s="15" t="s">
        <v>511</v>
      </c>
      <c r="D587" s="15">
        <v>3</v>
      </c>
      <c r="E587" s="15">
        <v>1</v>
      </c>
      <c r="F587" s="15">
        <v>1066</v>
      </c>
      <c r="G587" s="16">
        <v>32.130000000000003</v>
      </c>
      <c r="H587" s="15">
        <f t="shared" si="9"/>
        <v>34</v>
      </c>
      <c r="I587" s="15">
        <v>20</v>
      </c>
      <c r="J587" s="15" t="b">
        <v>1</v>
      </c>
      <c r="K587" s="15" t="b">
        <v>1</v>
      </c>
    </row>
    <row r="588" spans="1:11" x14ac:dyDescent="0.3">
      <c r="A588" s="15" t="s">
        <v>501</v>
      </c>
      <c r="B588" s="15">
        <v>4</v>
      </c>
      <c r="C588" s="15" t="s">
        <v>511</v>
      </c>
      <c r="D588" s="15">
        <v>3</v>
      </c>
      <c r="E588" s="15">
        <v>2</v>
      </c>
      <c r="F588" s="15">
        <v>1081</v>
      </c>
      <c r="G588" s="16">
        <v>32.130000000000003</v>
      </c>
      <c r="H588" s="15">
        <f t="shared" si="9"/>
        <v>34</v>
      </c>
      <c r="I588" s="15">
        <v>20</v>
      </c>
      <c r="J588" s="15" t="b">
        <v>1</v>
      </c>
      <c r="K588" s="15" t="b">
        <v>1</v>
      </c>
    </row>
    <row r="589" spans="1:11" x14ac:dyDescent="0.3">
      <c r="A589" s="15" t="s">
        <v>501</v>
      </c>
      <c r="B589" s="15">
        <v>4</v>
      </c>
      <c r="C589" s="15" t="s">
        <v>511</v>
      </c>
      <c r="D589" s="15">
        <v>3</v>
      </c>
      <c r="E589" s="15">
        <v>3</v>
      </c>
      <c r="F589" s="15">
        <v>1097</v>
      </c>
      <c r="G589" s="16">
        <v>32.130000000000003</v>
      </c>
      <c r="H589" s="15">
        <f t="shared" si="9"/>
        <v>35</v>
      </c>
      <c r="I589" s="15">
        <v>20</v>
      </c>
      <c r="J589" s="15" t="b">
        <v>1</v>
      </c>
      <c r="K589" s="15" t="b">
        <v>1</v>
      </c>
    </row>
    <row r="590" spans="1:11" x14ac:dyDescent="0.3">
      <c r="A590" s="15" t="s">
        <v>501</v>
      </c>
      <c r="B590" s="15">
        <v>4</v>
      </c>
      <c r="C590" s="15" t="s">
        <v>511</v>
      </c>
      <c r="D590" s="15">
        <v>4</v>
      </c>
      <c r="E590" s="15">
        <v>1</v>
      </c>
      <c r="F590" s="15">
        <v>1047</v>
      </c>
      <c r="G590" s="16">
        <v>32.130000000000003</v>
      </c>
      <c r="H590" s="15">
        <f t="shared" si="9"/>
        <v>33</v>
      </c>
      <c r="I590" s="15">
        <v>8</v>
      </c>
      <c r="J590" s="15" t="b">
        <v>0</v>
      </c>
      <c r="K590" s="15" t="b">
        <v>1</v>
      </c>
    </row>
    <row r="591" spans="1:11" x14ac:dyDescent="0.3">
      <c r="A591" s="15" t="s">
        <v>501</v>
      </c>
      <c r="B591" s="15">
        <v>4</v>
      </c>
      <c r="C591" s="15" t="s">
        <v>511</v>
      </c>
      <c r="D591" s="15">
        <v>4</v>
      </c>
      <c r="E591" s="15">
        <v>2</v>
      </c>
      <c r="F591" s="15">
        <v>962</v>
      </c>
      <c r="G591" s="16">
        <v>32.130000000000003</v>
      </c>
      <c r="H591" s="15">
        <f t="shared" si="9"/>
        <v>30</v>
      </c>
      <c r="I591" s="15">
        <v>8</v>
      </c>
      <c r="J591" s="15" t="b">
        <v>0</v>
      </c>
      <c r="K591" s="15" t="b">
        <v>1</v>
      </c>
    </row>
    <row r="592" spans="1:11" x14ac:dyDescent="0.3">
      <c r="A592" s="15" t="s">
        <v>501</v>
      </c>
      <c r="B592" s="15">
        <v>4</v>
      </c>
      <c r="C592" s="15" t="s">
        <v>511</v>
      </c>
      <c r="D592" s="15">
        <v>4</v>
      </c>
      <c r="E592" s="15">
        <v>3</v>
      </c>
      <c r="F592" s="15">
        <v>976</v>
      </c>
      <c r="G592" s="16">
        <v>32.130000000000003</v>
      </c>
      <c r="H592" s="15">
        <f t="shared" si="9"/>
        <v>31</v>
      </c>
      <c r="I592" s="15">
        <v>8</v>
      </c>
      <c r="J592" s="15" t="b">
        <v>0</v>
      </c>
      <c r="K592" s="15" t="b">
        <v>1</v>
      </c>
    </row>
    <row r="593" spans="1:11" x14ac:dyDescent="0.3">
      <c r="A593" s="15" t="s">
        <v>501</v>
      </c>
      <c r="B593" s="15">
        <v>4</v>
      </c>
      <c r="C593" s="15" t="s">
        <v>511</v>
      </c>
      <c r="D593" s="15">
        <v>5</v>
      </c>
      <c r="E593" s="15">
        <v>1</v>
      </c>
      <c r="F593" s="15">
        <v>263</v>
      </c>
      <c r="G593" s="16">
        <v>32.130000000000003</v>
      </c>
      <c r="H593" s="15">
        <f t="shared" si="9"/>
        <v>9</v>
      </c>
      <c r="I593" s="15">
        <v>3</v>
      </c>
      <c r="J593" s="15" t="b">
        <v>0</v>
      </c>
      <c r="K593" s="15" t="b">
        <v>1</v>
      </c>
    </row>
    <row r="594" spans="1:11" x14ac:dyDescent="0.3">
      <c r="A594" s="15" t="s">
        <v>501</v>
      </c>
      <c r="B594" s="15">
        <v>4</v>
      </c>
      <c r="C594" s="15" t="s">
        <v>511</v>
      </c>
      <c r="D594" s="15">
        <v>5</v>
      </c>
      <c r="E594" s="15">
        <v>2</v>
      </c>
      <c r="F594" s="15">
        <v>245</v>
      </c>
      <c r="G594" s="16">
        <v>32.130000000000003</v>
      </c>
      <c r="H594" s="15">
        <f t="shared" si="9"/>
        <v>8</v>
      </c>
      <c r="I594" s="15">
        <v>3</v>
      </c>
      <c r="J594" s="15" t="b">
        <v>0</v>
      </c>
      <c r="K594" s="15" t="b">
        <v>1</v>
      </c>
    </row>
    <row r="595" spans="1:11" x14ac:dyDescent="0.3">
      <c r="A595" s="15" t="s">
        <v>501</v>
      </c>
      <c r="B595" s="15">
        <v>4</v>
      </c>
      <c r="C595" s="15" t="s">
        <v>511</v>
      </c>
      <c r="D595" s="15">
        <v>5</v>
      </c>
      <c r="E595" s="15">
        <v>3</v>
      </c>
      <c r="F595" s="15">
        <v>267</v>
      </c>
      <c r="G595" s="16">
        <v>32.130000000000003</v>
      </c>
      <c r="H595" s="15">
        <f t="shared" si="9"/>
        <v>9</v>
      </c>
      <c r="I595" s="15">
        <v>3</v>
      </c>
      <c r="J595" s="15" t="b">
        <v>0</v>
      </c>
      <c r="K595" s="15" t="b">
        <v>1</v>
      </c>
    </row>
    <row r="596" spans="1:11" x14ac:dyDescent="0.3">
      <c r="A596" s="15" t="s">
        <v>501</v>
      </c>
      <c r="B596" s="15">
        <v>4</v>
      </c>
      <c r="C596" s="15" t="s">
        <v>512</v>
      </c>
      <c r="D596" s="15">
        <v>1</v>
      </c>
      <c r="E596" s="15">
        <v>1</v>
      </c>
      <c r="F596" s="15">
        <v>4108</v>
      </c>
      <c r="G596" s="16">
        <v>33.79</v>
      </c>
      <c r="H596" s="15">
        <f t="shared" si="9"/>
        <v>122</v>
      </c>
      <c r="I596" s="15">
        <v>67</v>
      </c>
      <c r="J596" s="15" t="b">
        <v>1</v>
      </c>
      <c r="K596" s="15" t="b">
        <v>1</v>
      </c>
    </row>
    <row r="597" spans="1:11" x14ac:dyDescent="0.3">
      <c r="A597" s="15" t="s">
        <v>501</v>
      </c>
      <c r="B597" s="15">
        <v>4</v>
      </c>
      <c r="C597" s="15" t="s">
        <v>512</v>
      </c>
      <c r="D597" s="15">
        <v>1</v>
      </c>
      <c r="E597" s="15">
        <v>2</v>
      </c>
      <c r="F597" s="15">
        <v>3700</v>
      </c>
      <c r="G597" s="16">
        <v>33.79</v>
      </c>
      <c r="H597" s="15">
        <f t="shared" si="9"/>
        <v>110</v>
      </c>
      <c r="I597" s="15">
        <v>67</v>
      </c>
      <c r="J597" s="15" t="b">
        <v>1</v>
      </c>
      <c r="K597" s="15" t="b">
        <v>1</v>
      </c>
    </row>
    <row r="598" spans="1:11" x14ac:dyDescent="0.3">
      <c r="A598" s="15" t="s">
        <v>501</v>
      </c>
      <c r="B598" s="15">
        <v>4</v>
      </c>
      <c r="C598" s="15" t="s">
        <v>512</v>
      </c>
      <c r="D598" s="15">
        <v>1</v>
      </c>
      <c r="E598" s="15">
        <v>3</v>
      </c>
      <c r="F598" s="15">
        <v>3759</v>
      </c>
      <c r="G598" s="16">
        <v>33.79</v>
      </c>
      <c r="H598" s="15">
        <f t="shared" si="9"/>
        <v>112</v>
      </c>
      <c r="I598" s="15">
        <v>67</v>
      </c>
      <c r="J598" s="15" t="b">
        <v>1</v>
      </c>
      <c r="K598" s="15" t="b">
        <v>1</v>
      </c>
    </row>
    <row r="599" spans="1:11" x14ac:dyDescent="0.3">
      <c r="A599" s="15" t="s">
        <v>501</v>
      </c>
      <c r="B599" s="15">
        <v>4</v>
      </c>
      <c r="C599" s="15" t="s">
        <v>512</v>
      </c>
      <c r="D599" s="15">
        <v>2</v>
      </c>
      <c r="E599" s="15">
        <v>1</v>
      </c>
      <c r="F599" s="15">
        <v>4394</v>
      </c>
      <c r="G599" s="16">
        <v>33.79</v>
      </c>
      <c r="H599" s="15">
        <f t="shared" si="9"/>
        <v>131</v>
      </c>
      <c r="I599" s="15">
        <v>62</v>
      </c>
      <c r="J599" s="15" t="b">
        <v>1</v>
      </c>
      <c r="K599" s="15" t="b">
        <v>1</v>
      </c>
    </row>
    <row r="600" spans="1:11" x14ac:dyDescent="0.3">
      <c r="A600" s="15" t="s">
        <v>501</v>
      </c>
      <c r="B600" s="15">
        <v>4</v>
      </c>
      <c r="C600" s="15" t="s">
        <v>512</v>
      </c>
      <c r="D600" s="15">
        <v>2</v>
      </c>
      <c r="E600" s="15">
        <v>2</v>
      </c>
      <c r="F600" s="15">
        <v>4033</v>
      </c>
      <c r="G600" s="16">
        <v>33.79</v>
      </c>
      <c r="H600" s="15">
        <f t="shared" si="9"/>
        <v>120</v>
      </c>
      <c r="I600" s="15">
        <v>62</v>
      </c>
      <c r="J600" s="15" t="b">
        <v>1</v>
      </c>
      <c r="K600" s="15" t="b">
        <v>1</v>
      </c>
    </row>
    <row r="601" spans="1:11" x14ac:dyDescent="0.3">
      <c r="A601" s="15" t="s">
        <v>501</v>
      </c>
      <c r="B601" s="15">
        <v>4</v>
      </c>
      <c r="C601" s="15" t="s">
        <v>512</v>
      </c>
      <c r="D601" s="15">
        <v>2</v>
      </c>
      <c r="E601" s="15">
        <v>3</v>
      </c>
      <c r="F601" s="15">
        <v>4006</v>
      </c>
      <c r="G601" s="16">
        <v>33.79</v>
      </c>
      <c r="H601" s="15">
        <f t="shared" si="9"/>
        <v>119</v>
      </c>
      <c r="I601" s="15">
        <v>62</v>
      </c>
      <c r="J601" s="15" t="b">
        <v>1</v>
      </c>
      <c r="K601" s="15" t="b">
        <v>1</v>
      </c>
    </row>
    <row r="602" spans="1:11" x14ac:dyDescent="0.3">
      <c r="A602" s="15" t="s">
        <v>501</v>
      </c>
      <c r="B602" s="15">
        <v>4</v>
      </c>
      <c r="C602" s="15" t="s">
        <v>512</v>
      </c>
      <c r="D602" s="15">
        <v>3</v>
      </c>
      <c r="E602" s="15">
        <v>1</v>
      </c>
      <c r="F602" s="15">
        <v>7262</v>
      </c>
      <c r="G602" s="16">
        <v>33.79</v>
      </c>
      <c r="H602" s="15">
        <f t="shared" si="9"/>
        <v>215</v>
      </c>
      <c r="I602" s="15">
        <v>84</v>
      </c>
      <c r="J602" s="15" t="b">
        <v>1</v>
      </c>
      <c r="K602" s="15" t="b">
        <v>1</v>
      </c>
    </row>
    <row r="603" spans="1:11" x14ac:dyDescent="0.3">
      <c r="A603" s="15" t="s">
        <v>501</v>
      </c>
      <c r="B603" s="15">
        <v>4</v>
      </c>
      <c r="C603" s="15" t="s">
        <v>512</v>
      </c>
      <c r="D603" s="15">
        <v>3</v>
      </c>
      <c r="E603" s="15">
        <v>2</v>
      </c>
      <c r="F603" s="15">
        <v>6832</v>
      </c>
      <c r="G603" s="16">
        <v>33.79</v>
      </c>
      <c r="H603" s="15">
        <f t="shared" si="9"/>
        <v>203</v>
      </c>
      <c r="I603" s="15">
        <v>84</v>
      </c>
      <c r="J603" s="15" t="b">
        <v>1</v>
      </c>
      <c r="K603" s="15" t="b">
        <v>1</v>
      </c>
    </row>
    <row r="604" spans="1:11" x14ac:dyDescent="0.3">
      <c r="A604" s="15" t="s">
        <v>501</v>
      </c>
      <c r="B604" s="15">
        <v>4</v>
      </c>
      <c r="C604" s="15" t="s">
        <v>512</v>
      </c>
      <c r="D604" s="15">
        <v>3</v>
      </c>
      <c r="E604" s="15">
        <v>3</v>
      </c>
      <c r="F604" s="15">
        <v>6743</v>
      </c>
      <c r="G604" s="16">
        <v>33.79</v>
      </c>
      <c r="H604" s="15">
        <f t="shared" si="9"/>
        <v>200</v>
      </c>
      <c r="I604" s="15">
        <v>84</v>
      </c>
      <c r="J604" s="15" t="b">
        <v>1</v>
      </c>
      <c r="K604" s="15" t="b">
        <v>1</v>
      </c>
    </row>
    <row r="605" spans="1:11" x14ac:dyDescent="0.3">
      <c r="A605" s="15" t="s">
        <v>501</v>
      </c>
      <c r="B605" s="15">
        <v>4</v>
      </c>
      <c r="C605" s="15" t="s">
        <v>512</v>
      </c>
      <c r="D605" s="15">
        <v>4</v>
      </c>
      <c r="E605" s="15">
        <v>1</v>
      </c>
      <c r="F605" s="15">
        <v>983</v>
      </c>
      <c r="G605" s="16">
        <v>33.79</v>
      </c>
      <c r="H605" s="15">
        <f t="shared" si="9"/>
        <v>30</v>
      </c>
      <c r="I605" s="15">
        <v>12</v>
      </c>
      <c r="J605" s="15" t="b">
        <v>0</v>
      </c>
      <c r="K605" s="15" t="b">
        <v>1</v>
      </c>
    </row>
    <row r="606" spans="1:11" x14ac:dyDescent="0.3">
      <c r="A606" s="15" t="s">
        <v>501</v>
      </c>
      <c r="B606" s="15">
        <v>4</v>
      </c>
      <c r="C606" s="15" t="s">
        <v>512</v>
      </c>
      <c r="D606" s="15">
        <v>4</v>
      </c>
      <c r="E606" s="15">
        <v>2</v>
      </c>
      <c r="F606" s="15">
        <v>1022</v>
      </c>
      <c r="G606" s="16">
        <v>33.79</v>
      </c>
      <c r="H606" s="15">
        <f t="shared" si="9"/>
        <v>31</v>
      </c>
      <c r="I606" s="15">
        <v>12</v>
      </c>
      <c r="J606" s="15" t="b">
        <v>0</v>
      </c>
      <c r="K606" s="15" t="b">
        <v>1</v>
      </c>
    </row>
    <row r="607" spans="1:11" x14ac:dyDescent="0.3">
      <c r="A607" s="15" t="s">
        <v>501</v>
      </c>
      <c r="B607" s="15">
        <v>4</v>
      </c>
      <c r="C607" s="15" t="s">
        <v>512</v>
      </c>
      <c r="D607" s="15">
        <v>4</v>
      </c>
      <c r="E607" s="15">
        <v>3</v>
      </c>
      <c r="F607" s="15">
        <v>1017</v>
      </c>
      <c r="G607" s="16">
        <v>33.79</v>
      </c>
      <c r="H607" s="15">
        <f t="shared" si="9"/>
        <v>31</v>
      </c>
      <c r="I607" s="15">
        <v>12</v>
      </c>
      <c r="J607" s="15" t="b">
        <v>0</v>
      </c>
      <c r="K607" s="15" t="b">
        <v>1</v>
      </c>
    </row>
    <row r="608" spans="1:11" x14ac:dyDescent="0.3">
      <c r="A608" s="15" t="s">
        <v>501</v>
      </c>
      <c r="B608" s="15">
        <v>4</v>
      </c>
      <c r="C608" s="15" t="s">
        <v>512</v>
      </c>
      <c r="D608" s="15">
        <v>5</v>
      </c>
      <c r="E608" s="15">
        <v>1</v>
      </c>
      <c r="F608" s="15">
        <v>707</v>
      </c>
      <c r="G608" s="16">
        <v>33.79</v>
      </c>
      <c r="H608" s="15">
        <f t="shared" si="9"/>
        <v>21</v>
      </c>
      <c r="I608" s="15">
        <v>6</v>
      </c>
      <c r="J608" s="15" t="b">
        <v>0</v>
      </c>
      <c r="K608" s="15" t="b">
        <v>1</v>
      </c>
    </row>
    <row r="609" spans="1:11" x14ac:dyDescent="0.3">
      <c r="A609" s="15" t="s">
        <v>501</v>
      </c>
      <c r="B609" s="15">
        <v>4</v>
      </c>
      <c r="C609" s="15" t="s">
        <v>512</v>
      </c>
      <c r="D609" s="15">
        <v>5</v>
      </c>
      <c r="E609" s="15">
        <v>2</v>
      </c>
      <c r="F609" s="15">
        <v>681</v>
      </c>
      <c r="G609" s="16">
        <v>33.79</v>
      </c>
      <c r="H609" s="15">
        <f t="shared" si="9"/>
        <v>21</v>
      </c>
      <c r="I609" s="15">
        <v>6</v>
      </c>
      <c r="J609" s="15" t="b">
        <v>0</v>
      </c>
      <c r="K609" s="15" t="b">
        <v>1</v>
      </c>
    </row>
    <row r="610" spans="1:11" x14ac:dyDescent="0.3">
      <c r="A610" s="15" t="s">
        <v>501</v>
      </c>
      <c r="B610" s="15">
        <v>4</v>
      </c>
      <c r="C610" s="15" t="s">
        <v>512</v>
      </c>
      <c r="D610" s="15">
        <v>5</v>
      </c>
      <c r="E610" s="15">
        <v>3</v>
      </c>
      <c r="F610" s="15">
        <v>702</v>
      </c>
      <c r="G610" s="16">
        <v>33.79</v>
      </c>
      <c r="H610" s="15">
        <f t="shared" si="9"/>
        <v>21</v>
      </c>
      <c r="I610" s="15">
        <v>6</v>
      </c>
      <c r="J610" s="15" t="b">
        <v>0</v>
      </c>
      <c r="K610" s="15" t="b">
        <v>1</v>
      </c>
    </row>
    <row r="611" spans="1:11" x14ac:dyDescent="0.3">
      <c r="A611" s="15" t="s">
        <v>501</v>
      </c>
      <c r="B611" s="15">
        <v>4</v>
      </c>
      <c r="C611" s="15" t="s">
        <v>513</v>
      </c>
      <c r="D611" s="15">
        <v>1</v>
      </c>
      <c r="E611" s="15">
        <v>1</v>
      </c>
      <c r="F611" s="15">
        <v>7251</v>
      </c>
      <c r="G611" s="16">
        <v>32.450000000000003</v>
      </c>
      <c r="H611" s="15">
        <f t="shared" si="9"/>
        <v>224</v>
      </c>
      <c r="I611" s="15">
        <v>143</v>
      </c>
      <c r="J611" s="15" t="b">
        <v>1</v>
      </c>
      <c r="K611" s="15" t="b">
        <v>1</v>
      </c>
    </row>
    <row r="612" spans="1:11" x14ac:dyDescent="0.3">
      <c r="A612" s="15" t="s">
        <v>501</v>
      </c>
      <c r="B612" s="15">
        <v>4</v>
      </c>
      <c r="C612" s="15" t="s">
        <v>513</v>
      </c>
      <c r="D612" s="15">
        <v>1</v>
      </c>
      <c r="E612" s="15">
        <v>2</v>
      </c>
      <c r="F612" s="15">
        <v>6983</v>
      </c>
      <c r="G612" s="16">
        <v>32.450000000000003</v>
      </c>
      <c r="H612" s="15">
        <f t="shared" si="9"/>
        <v>216</v>
      </c>
      <c r="I612" s="15">
        <v>143</v>
      </c>
      <c r="J612" s="15" t="b">
        <v>1</v>
      </c>
      <c r="K612" s="15" t="b">
        <v>1</v>
      </c>
    </row>
    <row r="613" spans="1:11" x14ac:dyDescent="0.3">
      <c r="A613" s="15" t="s">
        <v>501</v>
      </c>
      <c r="B613" s="15">
        <v>4</v>
      </c>
      <c r="C613" s="15" t="s">
        <v>513</v>
      </c>
      <c r="D613" s="15">
        <v>1</v>
      </c>
      <c r="E613" s="15">
        <v>3</v>
      </c>
      <c r="F613" s="15">
        <v>6794</v>
      </c>
      <c r="G613" s="16">
        <v>32.450000000000003</v>
      </c>
      <c r="H613" s="15">
        <f t="shared" si="9"/>
        <v>210</v>
      </c>
      <c r="I613" s="15">
        <v>143</v>
      </c>
      <c r="J613" s="15" t="b">
        <v>1</v>
      </c>
      <c r="K613" s="15" t="b">
        <v>1</v>
      </c>
    </row>
    <row r="614" spans="1:11" x14ac:dyDescent="0.3">
      <c r="A614" s="15" t="s">
        <v>501</v>
      </c>
      <c r="B614" s="15">
        <v>4</v>
      </c>
      <c r="C614" s="15" t="s">
        <v>513</v>
      </c>
      <c r="D614" s="15">
        <v>2</v>
      </c>
      <c r="E614" s="15">
        <v>1</v>
      </c>
      <c r="F614" s="15">
        <v>6552</v>
      </c>
      <c r="G614" s="16">
        <v>32.450000000000003</v>
      </c>
      <c r="H614" s="15">
        <f t="shared" si="9"/>
        <v>202</v>
      </c>
      <c r="I614" s="15">
        <v>110</v>
      </c>
      <c r="J614" s="15" t="b">
        <v>1</v>
      </c>
      <c r="K614" s="15" t="b">
        <v>1</v>
      </c>
    </row>
    <row r="615" spans="1:11" x14ac:dyDescent="0.3">
      <c r="A615" s="15" t="s">
        <v>501</v>
      </c>
      <c r="B615" s="15">
        <v>4</v>
      </c>
      <c r="C615" s="15" t="s">
        <v>513</v>
      </c>
      <c r="D615" s="15">
        <v>2</v>
      </c>
      <c r="E615" s="15">
        <v>2</v>
      </c>
      <c r="F615" s="15">
        <v>6493</v>
      </c>
      <c r="G615" s="16">
        <v>32.450000000000003</v>
      </c>
      <c r="H615" s="15">
        <f t="shared" si="9"/>
        <v>201</v>
      </c>
      <c r="I615" s="15">
        <v>110</v>
      </c>
      <c r="J615" s="15" t="b">
        <v>1</v>
      </c>
      <c r="K615" s="15" t="b">
        <v>1</v>
      </c>
    </row>
    <row r="616" spans="1:11" x14ac:dyDescent="0.3">
      <c r="A616" s="15" t="s">
        <v>501</v>
      </c>
      <c r="B616" s="15">
        <v>4</v>
      </c>
      <c r="C616" s="15" t="s">
        <v>513</v>
      </c>
      <c r="D616" s="15">
        <v>2</v>
      </c>
      <c r="E616" s="15">
        <v>3</v>
      </c>
      <c r="F616" s="15">
        <v>6638</v>
      </c>
      <c r="G616" s="16">
        <v>32.450000000000003</v>
      </c>
      <c r="H616" s="15">
        <f t="shared" si="9"/>
        <v>205</v>
      </c>
      <c r="I616" s="15">
        <v>110</v>
      </c>
      <c r="J616" s="15" t="b">
        <v>1</v>
      </c>
      <c r="K616" s="15" t="b">
        <v>1</v>
      </c>
    </row>
    <row r="617" spans="1:11" x14ac:dyDescent="0.3">
      <c r="A617" s="15" t="s">
        <v>501</v>
      </c>
      <c r="B617" s="15">
        <v>4</v>
      </c>
      <c r="C617" s="15" t="s">
        <v>513</v>
      </c>
      <c r="D617" s="15">
        <v>3</v>
      </c>
      <c r="E617" s="15">
        <v>1</v>
      </c>
      <c r="F617" s="15">
        <v>4939</v>
      </c>
      <c r="G617" s="16">
        <v>32.450000000000003</v>
      </c>
      <c r="H617" s="15">
        <f t="shared" si="9"/>
        <v>153</v>
      </c>
      <c r="I617" s="15">
        <v>57</v>
      </c>
      <c r="J617" s="15" t="b">
        <v>1</v>
      </c>
      <c r="K617" s="15" t="b">
        <v>1</v>
      </c>
    </row>
    <row r="618" spans="1:11" x14ac:dyDescent="0.3">
      <c r="A618" s="15" t="s">
        <v>501</v>
      </c>
      <c r="B618" s="15">
        <v>4</v>
      </c>
      <c r="C618" s="15" t="s">
        <v>513</v>
      </c>
      <c r="D618" s="15">
        <v>3</v>
      </c>
      <c r="E618" s="15">
        <v>2</v>
      </c>
      <c r="F618" s="15">
        <v>4656</v>
      </c>
      <c r="G618" s="16">
        <v>32.450000000000003</v>
      </c>
      <c r="H618" s="15">
        <f t="shared" si="9"/>
        <v>144</v>
      </c>
      <c r="I618" s="15">
        <v>57</v>
      </c>
      <c r="J618" s="15" t="b">
        <v>1</v>
      </c>
      <c r="K618" s="15" t="b">
        <v>1</v>
      </c>
    </row>
    <row r="619" spans="1:11" x14ac:dyDescent="0.3">
      <c r="A619" s="15" t="s">
        <v>501</v>
      </c>
      <c r="B619" s="15">
        <v>4</v>
      </c>
      <c r="C619" s="15" t="s">
        <v>513</v>
      </c>
      <c r="D619" s="15">
        <v>3</v>
      </c>
      <c r="E619" s="15">
        <v>3</v>
      </c>
      <c r="F619" s="15">
        <v>4671</v>
      </c>
      <c r="G619" s="16">
        <v>32.450000000000003</v>
      </c>
      <c r="H619" s="15">
        <f t="shared" si="9"/>
        <v>144</v>
      </c>
      <c r="I619" s="15">
        <v>57</v>
      </c>
      <c r="J619" s="15" t="b">
        <v>1</v>
      </c>
      <c r="K619" s="15" t="b">
        <v>1</v>
      </c>
    </row>
    <row r="620" spans="1:11" x14ac:dyDescent="0.3">
      <c r="A620" s="15" t="s">
        <v>501</v>
      </c>
      <c r="B620" s="15">
        <v>4</v>
      </c>
      <c r="C620" s="15" t="s">
        <v>513</v>
      </c>
      <c r="D620" s="15">
        <v>4</v>
      </c>
      <c r="E620" s="15">
        <v>1</v>
      </c>
      <c r="F620" s="15">
        <v>867</v>
      </c>
      <c r="G620" s="16">
        <v>32.450000000000003</v>
      </c>
      <c r="H620" s="15">
        <f t="shared" si="9"/>
        <v>27</v>
      </c>
      <c r="I620" s="15">
        <v>10</v>
      </c>
      <c r="J620" s="15" t="b">
        <v>0</v>
      </c>
      <c r="K620" s="15" t="b">
        <v>1</v>
      </c>
    </row>
    <row r="621" spans="1:11" x14ac:dyDescent="0.3">
      <c r="A621" s="15" t="s">
        <v>501</v>
      </c>
      <c r="B621" s="15">
        <v>4</v>
      </c>
      <c r="C621" s="15" t="s">
        <v>513</v>
      </c>
      <c r="D621" s="15">
        <v>4</v>
      </c>
      <c r="E621" s="15">
        <v>2</v>
      </c>
      <c r="F621" s="15">
        <v>822</v>
      </c>
      <c r="G621" s="16">
        <v>32.450000000000003</v>
      </c>
      <c r="H621" s="15">
        <f t="shared" si="9"/>
        <v>26</v>
      </c>
      <c r="I621" s="15">
        <v>10</v>
      </c>
      <c r="J621" s="15" t="b">
        <v>0</v>
      </c>
      <c r="K621" s="15" t="b">
        <v>1</v>
      </c>
    </row>
    <row r="622" spans="1:11" x14ac:dyDescent="0.3">
      <c r="A622" s="15" t="s">
        <v>501</v>
      </c>
      <c r="B622" s="15">
        <v>4</v>
      </c>
      <c r="C622" s="15" t="s">
        <v>513</v>
      </c>
      <c r="D622" s="15">
        <v>4</v>
      </c>
      <c r="E622" s="15">
        <v>3</v>
      </c>
      <c r="F622" s="15">
        <v>873</v>
      </c>
      <c r="G622" s="16">
        <v>32.450000000000003</v>
      </c>
      <c r="H622" s="15">
        <f t="shared" si="9"/>
        <v>27</v>
      </c>
      <c r="I622" s="15">
        <v>10</v>
      </c>
      <c r="J622" s="15" t="b">
        <v>0</v>
      </c>
      <c r="K622" s="15" t="b">
        <v>1</v>
      </c>
    </row>
    <row r="623" spans="1:11" x14ac:dyDescent="0.3">
      <c r="A623" s="15" t="s">
        <v>501</v>
      </c>
      <c r="B623" s="15">
        <v>4</v>
      </c>
      <c r="C623" s="15" t="s">
        <v>513</v>
      </c>
      <c r="D623" s="15">
        <v>5</v>
      </c>
      <c r="E623" s="15">
        <v>1</v>
      </c>
      <c r="F623" s="15">
        <v>341</v>
      </c>
      <c r="G623" s="16">
        <v>32.450000000000003</v>
      </c>
      <c r="H623" s="15">
        <f t="shared" si="9"/>
        <v>11</v>
      </c>
      <c r="I623" s="15">
        <v>3</v>
      </c>
      <c r="J623" s="15" t="b">
        <v>0</v>
      </c>
      <c r="K623" s="15" t="b">
        <v>1</v>
      </c>
    </row>
    <row r="624" spans="1:11" x14ac:dyDescent="0.3">
      <c r="A624" s="15" t="s">
        <v>501</v>
      </c>
      <c r="B624" s="15">
        <v>4</v>
      </c>
      <c r="C624" s="15" t="s">
        <v>513</v>
      </c>
      <c r="D624" s="15">
        <v>5</v>
      </c>
      <c r="E624" s="15">
        <v>2</v>
      </c>
      <c r="F624" s="15">
        <v>291</v>
      </c>
      <c r="G624" s="16">
        <v>32.450000000000003</v>
      </c>
      <c r="H624" s="15">
        <f t="shared" si="9"/>
        <v>9</v>
      </c>
      <c r="I624" s="15">
        <v>3</v>
      </c>
      <c r="J624" s="15" t="b">
        <v>0</v>
      </c>
      <c r="K624" s="15" t="b">
        <v>1</v>
      </c>
    </row>
    <row r="625" spans="1:11" x14ac:dyDescent="0.3">
      <c r="A625" s="15" t="s">
        <v>501</v>
      </c>
      <c r="B625" s="15">
        <v>4</v>
      </c>
      <c r="C625" s="15" t="s">
        <v>513</v>
      </c>
      <c r="D625" s="15">
        <v>5</v>
      </c>
      <c r="E625" s="15">
        <v>3</v>
      </c>
      <c r="F625" s="15">
        <v>311</v>
      </c>
      <c r="G625" s="16">
        <v>32.450000000000003</v>
      </c>
      <c r="H625" s="15">
        <f t="shared" si="9"/>
        <v>10</v>
      </c>
      <c r="I625" s="15">
        <v>3</v>
      </c>
      <c r="J625" s="15" t="b">
        <v>0</v>
      </c>
      <c r="K625" s="15" t="b">
        <v>1</v>
      </c>
    </row>
    <row r="626" spans="1:11" x14ac:dyDescent="0.3">
      <c r="A626" s="15" t="s">
        <v>413</v>
      </c>
      <c r="B626" s="15">
        <v>5</v>
      </c>
      <c r="C626" s="15" t="s">
        <v>514</v>
      </c>
      <c r="D626" s="15">
        <v>1</v>
      </c>
      <c r="E626" s="15">
        <v>1</v>
      </c>
      <c r="F626" s="15">
        <v>5403</v>
      </c>
      <c r="G626" s="16">
        <v>36.78</v>
      </c>
      <c r="H626" s="15">
        <f t="shared" si="9"/>
        <v>147</v>
      </c>
      <c r="I626" s="15">
        <v>94</v>
      </c>
      <c r="J626" s="15" t="b">
        <v>1</v>
      </c>
      <c r="K626" s="15" t="b">
        <v>1</v>
      </c>
    </row>
    <row r="627" spans="1:11" x14ac:dyDescent="0.3">
      <c r="A627" s="15" t="s">
        <v>413</v>
      </c>
      <c r="B627" s="15">
        <v>5</v>
      </c>
      <c r="C627" s="15" t="s">
        <v>514</v>
      </c>
      <c r="D627" s="15">
        <v>1</v>
      </c>
      <c r="E627" s="15">
        <v>2</v>
      </c>
      <c r="F627" s="15">
        <v>5114</v>
      </c>
      <c r="G627" s="16">
        <v>36.78</v>
      </c>
      <c r="H627" s="15">
        <f t="shared" si="9"/>
        <v>140</v>
      </c>
      <c r="I627" s="15">
        <v>94</v>
      </c>
      <c r="J627" s="15" t="b">
        <v>1</v>
      </c>
      <c r="K627" s="15" t="b">
        <v>1</v>
      </c>
    </row>
    <row r="628" spans="1:11" x14ac:dyDescent="0.3">
      <c r="A628" s="15" t="s">
        <v>413</v>
      </c>
      <c r="B628" s="15">
        <v>5</v>
      </c>
      <c r="C628" s="15" t="s">
        <v>514</v>
      </c>
      <c r="D628" s="15">
        <v>1</v>
      </c>
      <c r="E628" s="15">
        <v>3</v>
      </c>
      <c r="F628" s="15">
        <v>5347</v>
      </c>
      <c r="G628" s="16">
        <v>36.78</v>
      </c>
      <c r="H628" s="15">
        <f t="shared" si="9"/>
        <v>146</v>
      </c>
      <c r="I628" s="15">
        <v>94</v>
      </c>
      <c r="J628" s="15" t="b">
        <v>1</v>
      </c>
      <c r="K628" s="15" t="b">
        <v>1</v>
      </c>
    </row>
    <row r="629" spans="1:11" x14ac:dyDescent="0.3">
      <c r="A629" s="15" t="s">
        <v>413</v>
      </c>
      <c r="B629" s="15">
        <v>5</v>
      </c>
      <c r="C629" s="15" t="s">
        <v>514</v>
      </c>
      <c r="D629" s="15">
        <v>2</v>
      </c>
      <c r="E629" s="15">
        <v>1</v>
      </c>
      <c r="F629" s="15">
        <v>13573</v>
      </c>
      <c r="G629" s="16">
        <v>36.78</v>
      </c>
      <c r="H629" s="15">
        <f t="shared" si="9"/>
        <v>370</v>
      </c>
      <c r="I629" s="15">
        <v>209</v>
      </c>
      <c r="J629" s="15" t="b">
        <v>1</v>
      </c>
      <c r="K629" s="15" t="b">
        <v>1</v>
      </c>
    </row>
    <row r="630" spans="1:11" x14ac:dyDescent="0.3">
      <c r="A630" s="15" t="s">
        <v>413</v>
      </c>
      <c r="B630" s="15">
        <v>5</v>
      </c>
      <c r="C630" s="15" t="s">
        <v>514</v>
      </c>
      <c r="D630" s="15">
        <v>2</v>
      </c>
      <c r="E630" s="15">
        <v>2</v>
      </c>
      <c r="F630" s="15">
        <v>12888</v>
      </c>
      <c r="G630" s="16">
        <v>36.78</v>
      </c>
      <c r="H630" s="15">
        <f t="shared" si="9"/>
        <v>351</v>
      </c>
      <c r="I630" s="15">
        <v>209</v>
      </c>
      <c r="J630" s="15" t="b">
        <v>1</v>
      </c>
      <c r="K630" s="15" t="b">
        <v>1</v>
      </c>
    </row>
    <row r="631" spans="1:11" x14ac:dyDescent="0.3">
      <c r="A631" s="15" t="s">
        <v>413</v>
      </c>
      <c r="B631" s="15">
        <v>5</v>
      </c>
      <c r="C631" s="15" t="s">
        <v>514</v>
      </c>
      <c r="D631" s="15">
        <v>2</v>
      </c>
      <c r="E631" s="15">
        <v>3</v>
      </c>
      <c r="F631" s="15">
        <v>13315</v>
      </c>
      <c r="G631" s="16">
        <v>36.78</v>
      </c>
      <c r="H631" s="15">
        <f t="shared" si="9"/>
        <v>363</v>
      </c>
      <c r="I631" s="15">
        <v>209</v>
      </c>
      <c r="J631" s="15" t="b">
        <v>1</v>
      </c>
      <c r="K631" s="15" t="b">
        <v>1</v>
      </c>
    </row>
    <row r="632" spans="1:11" x14ac:dyDescent="0.3">
      <c r="A632" s="15" t="s">
        <v>413</v>
      </c>
      <c r="B632" s="15">
        <v>5</v>
      </c>
      <c r="C632" s="15" t="s">
        <v>514</v>
      </c>
      <c r="D632" s="15">
        <v>3</v>
      </c>
      <c r="E632" s="15">
        <v>1</v>
      </c>
      <c r="F632" s="15">
        <v>9041</v>
      </c>
      <c r="G632" s="16">
        <v>36.78</v>
      </c>
      <c r="H632" s="15">
        <f t="shared" si="9"/>
        <v>246</v>
      </c>
      <c r="I632" s="15">
        <v>99</v>
      </c>
      <c r="J632" s="15" t="b">
        <v>1</v>
      </c>
      <c r="K632" s="15" t="b">
        <v>1</v>
      </c>
    </row>
    <row r="633" spans="1:11" x14ac:dyDescent="0.3">
      <c r="A633" s="15" t="s">
        <v>413</v>
      </c>
      <c r="B633" s="15">
        <v>5</v>
      </c>
      <c r="C633" s="15" t="s">
        <v>514</v>
      </c>
      <c r="D633" s="15">
        <v>3</v>
      </c>
      <c r="E633" s="15">
        <v>2</v>
      </c>
      <c r="F633" s="15">
        <v>8701</v>
      </c>
      <c r="G633" s="16">
        <v>36.78</v>
      </c>
      <c r="H633" s="15">
        <f t="shared" si="9"/>
        <v>237</v>
      </c>
      <c r="I633" s="15">
        <v>99</v>
      </c>
      <c r="J633" s="15" t="b">
        <v>1</v>
      </c>
      <c r="K633" s="15" t="b">
        <v>1</v>
      </c>
    </row>
    <row r="634" spans="1:11" x14ac:dyDescent="0.3">
      <c r="A634" s="15" t="s">
        <v>413</v>
      </c>
      <c r="B634" s="15">
        <v>5</v>
      </c>
      <c r="C634" s="15" t="s">
        <v>514</v>
      </c>
      <c r="D634" s="15">
        <v>3</v>
      </c>
      <c r="E634" s="15">
        <v>3</v>
      </c>
      <c r="F634" s="15">
        <v>8906</v>
      </c>
      <c r="G634" s="16">
        <v>36.78</v>
      </c>
      <c r="H634" s="15">
        <f t="shared" si="9"/>
        <v>243</v>
      </c>
      <c r="I634" s="15">
        <v>99</v>
      </c>
      <c r="J634" s="15" t="b">
        <v>1</v>
      </c>
      <c r="K634" s="15" t="b">
        <v>1</v>
      </c>
    </row>
    <row r="635" spans="1:11" x14ac:dyDescent="0.3">
      <c r="A635" s="15" t="s">
        <v>413</v>
      </c>
      <c r="B635" s="15">
        <v>5</v>
      </c>
      <c r="C635" s="15" t="s">
        <v>514</v>
      </c>
      <c r="D635" s="15">
        <v>4</v>
      </c>
      <c r="E635" s="15">
        <v>1</v>
      </c>
      <c r="F635" s="15">
        <v>178</v>
      </c>
      <c r="G635" s="16">
        <v>36.78</v>
      </c>
      <c r="H635" s="15">
        <f t="shared" si="9"/>
        <v>5</v>
      </c>
      <c r="I635" s="15">
        <v>1</v>
      </c>
      <c r="J635" s="15" t="b">
        <v>0</v>
      </c>
      <c r="K635" s="15" t="b">
        <v>1</v>
      </c>
    </row>
    <row r="636" spans="1:11" x14ac:dyDescent="0.3">
      <c r="A636" s="15" t="s">
        <v>413</v>
      </c>
      <c r="B636" s="15">
        <v>5</v>
      </c>
      <c r="C636" s="15" t="s">
        <v>514</v>
      </c>
      <c r="D636" s="15">
        <v>4</v>
      </c>
      <c r="E636" s="15">
        <v>2</v>
      </c>
      <c r="F636" s="15">
        <v>171</v>
      </c>
      <c r="G636" s="16">
        <v>36.78</v>
      </c>
      <c r="H636" s="15">
        <f t="shared" si="9"/>
        <v>5</v>
      </c>
      <c r="I636" s="15">
        <v>1</v>
      </c>
      <c r="J636" s="15" t="b">
        <v>0</v>
      </c>
      <c r="K636" s="15" t="b">
        <v>1</v>
      </c>
    </row>
    <row r="637" spans="1:11" x14ac:dyDescent="0.3">
      <c r="A637" s="15" t="s">
        <v>413</v>
      </c>
      <c r="B637" s="15">
        <v>5</v>
      </c>
      <c r="C637" s="15" t="s">
        <v>514</v>
      </c>
      <c r="D637" s="15">
        <v>4</v>
      </c>
      <c r="E637" s="15">
        <v>3</v>
      </c>
      <c r="F637" s="15">
        <v>178</v>
      </c>
      <c r="G637" s="16">
        <v>36.78</v>
      </c>
      <c r="H637" s="15">
        <f t="shared" si="9"/>
        <v>5</v>
      </c>
      <c r="I637" s="15">
        <v>1</v>
      </c>
      <c r="J637" s="15" t="b">
        <v>0</v>
      </c>
      <c r="K637" s="15" t="b">
        <v>1</v>
      </c>
    </row>
    <row r="638" spans="1:11" x14ac:dyDescent="0.3">
      <c r="A638" s="15" t="s">
        <v>413</v>
      </c>
      <c r="B638" s="15">
        <v>5</v>
      </c>
      <c r="C638" s="15" t="s">
        <v>514</v>
      </c>
      <c r="D638" s="15">
        <v>5</v>
      </c>
      <c r="E638" s="15">
        <v>1</v>
      </c>
      <c r="F638" s="15">
        <v>1259</v>
      </c>
      <c r="G638" s="16">
        <v>36.78</v>
      </c>
      <c r="H638" s="15">
        <f t="shared" si="9"/>
        <v>35</v>
      </c>
      <c r="I638" s="15">
        <v>10</v>
      </c>
      <c r="J638" s="15" t="b">
        <v>0</v>
      </c>
      <c r="K638" s="15" t="b">
        <v>1</v>
      </c>
    </row>
    <row r="639" spans="1:11" x14ac:dyDescent="0.3">
      <c r="A639" s="15" t="s">
        <v>413</v>
      </c>
      <c r="B639" s="15">
        <v>5</v>
      </c>
      <c r="C639" s="15" t="s">
        <v>514</v>
      </c>
      <c r="D639" s="15">
        <v>5</v>
      </c>
      <c r="E639" s="15">
        <v>2</v>
      </c>
      <c r="F639" s="15">
        <v>1190</v>
      </c>
      <c r="G639" s="16">
        <v>36.78</v>
      </c>
      <c r="H639" s="15">
        <f t="shared" si="9"/>
        <v>33</v>
      </c>
      <c r="I639" s="15">
        <v>10</v>
      </c>
      <c r="J639" s="15" t="b">
        <v>0</v>
      </c>
      <c r="K639" s="15" t="b">
        <v>1</v>
      </c>
    </row>
    <row r="640" spans="1:11" x14ac:dyDescent="0.3">
      <c r="A640" s="15" t="s">
        <v>413</v>
      </c>
      <c r="B640" s="15">
        <v>5</v>
      </c>
      <c r="C640" s="15" t="s">
        <v>514</v>
      </c>
      <c r="D640" s="15">
        <v>5</v>
      </c>
      <c r="E640" s="15">
        <v>3</v>
      </c>
      <c r="F640" s="15">
        <v>1248</v>
      </c>
      <c r="G640" s="16">
        <v>36.78</v>
      </c>
      <c r="H640" s="15">
        <f t="shared" si="9"/>
        <v>34</v>
      </c>
      <c r="I640" s="15">
        <v>10</v>
      </c>
      <c r="J640" s="15" t="b">
        <v>0</v>
      </c>
      <c r="K640" s="15" t="b">
        <v>1</v>
      </c>
    </row>
    <row r="641" spans="1:11" x14ac:dyDescent="0.3">
      <c r="A641" s="15" t="s">
        <v>413</v>
      </c>
      <c r="B641" s="15">
        <v>5</v>
      </c>
      <c r="C641" s="15" t="s">
        <v>515</v>
      </c>
      <c r="D641" s="15">
        <v>1</v>
      </c>
      <c r="E641" s="15">
        <v>1</v>
      </c>
      <c r="F641" s="15">
        <v>21742</v>
      </c>
      <c r="G641" s="16">
        <v>36</v>
      </c>
      <c r="H641" s="15">
        <f t="shared" si="9"/>
        <v>604</v>
      </c>
      <c r="I641" s="15">
        <v>323</v>
      </c>
      <c r="J641" s="15" t="b">
        <v>1</v>
      </c>
      <c r="K641" s="15" t="b">
        <v>1</v>
      </c>
    </row>
    <row r="642" spans="1:11" x14ac:dyDescent="0.3">
      <c r="A642" s="15" t="s">
        <v>413</v>
      </c>
      <c r="B642" s="15">
        <v>5</v>
      </c>
      <c r="C642" s="15" t="s">
        <v>515</v>
      </c>
      <c r="D642" s="15">
        <v>1</v>
      </c>
      <c r="E642" s="15">
        <v>2</v>
      </c>
      <c r="F642" s="15">
        <v>21060</v>
      </c>
      <c r="G642" s="16">
        <v>36</v>
      </c>
      <c r="H642" s="15">
        <f t="shared" si="9"/>
        <v>585</v>
      </c>
      <c r="I642" s="15">
        <v>323</v>
      </c>
      <c r="J642" s="15" t="b">
        <v>1</v>
      </c>
      <c r="K642" s="15" t="b">
        <v>1</v>
      </c>
    </row>
    <row r="643" spans="1:11" x14ac:dyDescent="0.3">
      <c r="A643" s="15" t="s">
        <v>413</v>
      </c>
      <c r="B643" s="15">
        <v>5</v>
      </c>
      <c r="C643" s="15" t="s">
        <v>515</v>
      </c>
      <c r="D643" s="15">
        <v>1</v>
      </c>
      <c r="E643" s="15">
        <v>3</v>
      </c>
      <c r="F643" s="15">
        <v>21577</v>
      </c>
      <c r="G643" s="16">
        <v>36</v>
      </c>
      <c r="H643" s="15">
        <f t="shared" ref="H643:H706" si="10">ROUNDUP(F643/G643,0)</f>
        <v>600</v>
      </c>
      <c r="I643" s="15">
        <v>323</v>
      </c>
      <c r="J643" s="15" t="b">
        <v>1</v>
      </c>
      <c r="K643" s="15" t="b">
        <v>1</v>
      </c>
    </row>
    <row r="644" spans="1:11" x14ac:dyDescent="0.3">
      <c r="A644" s="15" t="s">
        <v>413</v>
      </c>
      <c r="B644" s="15">
        <v>5</v>
      </c>
      <c r="C644" s="15" t="s">
        <v>515</v>
      </c>
      <c r="D644" s="15">
        <v>2</v>
      </c>
      <c r="E644" s="15">
        <v>1</v>
      </c>
      <c r="F644" s="15">
        <v>6436</v>
      </c>
      <c r="G644" s="16">
        <v>36</v>
      </c>
      <c r="H644" s="15">
        <f t="shared" si="10"/>
        <v>179</v>
      </c>
      <c r="I644" s="15">
        <v>81</v>
      </c>
      <c r="J644" s="15" t="b">
        <v>1</v>
      </c>
      <c r="K644" s="15" t="b">
        <v>1</v>
      </c>
    </row>
    <row r="645" spans="1:11" x14ac:dyDescent="0.3">
      <c r="A645" s="15" t="s">
        <v>413</v>
      </c>
      <c r="B645" s="15">
        <v>5</v>
      </c>
      <c r="C645" s="15" t="s">
        <v>515</v>
      </c>
      <c r="D645" s="15">
        <v>2</v>
      </c>
      <c r="E645" s="15">
        <v>2</v>
      </c>
      <c r="F645" s="15">
        <v>6163</v>
      </c>
      <c r="G645" s="16">
        <v>36</v>
      </c>
      <c r="H645" s="15">
        <f t="shared" si="10"/>
        <v>172</v>
      </c>
      <c r="I645" s="15">
        <v>81</v>
      </c>
      <c r="J645" s="15" t="b">
        <v>1</v>
      </c>
      <c r="K645" s="15" t="b">
        <v>1</v>
      </c>
    </row>
    <row r="646" spans="1:11" x14ac:dyDescent="0.3">
      <c r="A646" s="15" t="s">
        <v>413</v>
      </c>
      <c r="B646" s="15">
        <v>5</v>
      </c>
      <c r="C646" s="15" t="s">
        <v>515</v>
      </c>
      <c r="D646" s="15">
        <v>2</v>
      </c>
      <c r="E646" s="15">
        <v>3</v>
      </c>
      <c r="F646" s="15">
        <v>6195</v>
      </c>
      <c r="G646" s="16">
        <v>36</v>
      </c>
      <c r="H646" s="15">
        <f t="shared" si="10"/>
        <v>173</v>
      </c>
      <c r="I646" s="15">
        <v>81</v>
      </c>
      <c r="J646" s="15" t="b">
        <v>1</v>
      </c>
      <c r="K646" s="15" t="b">
        <v>1</v>
      </c>
    </row>
    <row r="647" spans="1:11" x14ac:dyDescent="0.3">
      <c r="A647" s="15" t="s">
        <v>413</v>
      </c>
      <c r="B647" s="15">
        <v>5</v>
      </c>
      <c r="C647" s="15" t="s">
        <v>515</v>
      </c>
      <c r="D647" s="15">
        <v>3</v>
      </c>
      <c r="E647" s="15">
        <v>1</v>
      </c>
      <c r="F647" s="15">
        <v>371</v>
      </c>
      <c r="G647" s="16">
        <v>36</v>
      </c>
      <c r="H647" s="15">
        <f t="shared" si="10"/>
        <v>11</v>
      </c>
      <c r="I647" s="15">
        <v>4</v>
      </c>
      <c r="J647" s="15" t="b">
        <v>1</v>
      </c>
      <c r="K647" s="15" t="b">
        <v>1</v>
      </c>
    </row>
    <row r="648" spans="1:11" x14ac:dyDescent="0.3">
      <c r="A648" s="15" t="s">
        <v>413</v>
      </c>
      <c r="B648" s="15">
        <v>5</v>
      </c>
      <c r="C648" s="15" t="s">
        <v>515</v>
      </c>
      <c r="D648" s="15">
        <v>3</v>
      </c>
      <c r="E648" s="15">
        <v>2</v>
      </c>
      <c r="F648" s="15">
        <v>367</v>
      </c>
      <c r="G648" s="16">
        <v>36</v>
      </c>
      <c r="H648" s="15">
        <f t="shared" si="10"/>
        <v>11</v>
      </c>
      <c r="I648" s="15">
        <v>4</v>
      </c>
      <c r="J648" s="15" t="b">
        <v>1</v>
      </c>
      <c r="K648" s="15" t="b">
        <v>1</v>
      </c>
    </row>
    <row r="649" spans="1:11" x14ac:dyDescent="0.3">
      <c r="A649" s="15" t="s">
        <v>413</v>
      </c>
      <c r="B649" s="15">
        <v>5</v>
      </c>
      <c r="C649" s="15" t="s">
        <v>515</v>
      </c>
      <c r="D649" s="15">
        <v>3</v>
      </c>
      <c r="E649" s="15">
        <v>3</v>
      </c>
      <c r="F649" s="15">
        <v>375</v>
      </c>
      <c r="G649" s="16">
        <v>36</v>
      </c>
      <c r="H649" s="15">
        <f t="shared" si="10"/>
        <v>11</v>
      </c>
      <c r="I649" s="15">
        <v>4</v>
      </c>
      <c r="J649" s="15" t="b">
        <v>1</v>
      </c>
      <c r="K649" s="15" t="b">
        <v>1</v>
      </c>
    </row>
    <row r="650" spans="1:11" x14ac:dyDescent="0.3">
      <c r="A650" s="15" t="s">
        <v>413</v>
      </c>
      <c r="B650" s="15">
        <v>5</v>
      </c>
      <c r="C650" s="15" t="s">
        <v>515</v>
      </c>
      <c r="D650" s="15">
        <v>4</v>
      </c>
      <c r="E650" s="15">
        <v>1</v>
      </c>
      <c r="F650" s="15">
        <v>146</v>
      </c>
      <c r="G650" s="16">
        <v>36</v>
      </c>
      <c r="H650" s="15">
        <f t="shared" si="10"/>
        <v>5</v>
      </c>
      <c r="I650" s="15">
        <v>2</v>
      </c>
      <c r="J650" s="15" t="b">
        <v>0</v>
      </c>
      <c r="K650" s="15" t="b">
        <v>1</v>
      </c>
    </row>
    <row r="651" spans="1:11" x14ac:dyDescent="0.3">
      <c r="A651" s="15" t="s">
        <v>413</v>
      </c>
      <c r="B651" s="15">
        <v>5</v>
      </c>
      <c r="C651" s="15" t="s">
        <v>515</v>
      </c>
      <c r="D651" s="15">
        <v>4</v>
      </c>
      <c r="E651" s="15">
        <v>2</v>
      </c>
      <c r="F651" s="15">
        <v>136</v>
      </c>
      <c r="G651" s="16">
        <v>36</v>
      </c>
      <c r="H651" s="15">
        <f t="shared" si="10"/>
        <v>4</v>
      </c>
      <c r="I651" s="15">
        <v>2</v>
      </c>
      <c r="J651" s="15" t="b">
        <v>0</v>
      </c>
      <c r="K651" s="15" t="b">
        <v>1</v>
      </c>
    </row>
    <row r="652" spans="1:11" x14ac:dyDescent="0.3">
      <c r="A652" s="15" t="s">
        <v>413</v>
      </c>
      <c r="B652" s="15">
        <v>5</v>
      </c>
      <c r="C652" s="15" t="s">
        <v>515</v>
      </c>
      <c r="D652" s="15">
        <v>4</v>
      </c>
      <c r="E652" s="15">
        <v>3</v>
      </c>
      <c r="F652" s="15">
        <v>136</v>
      </c>
      <c r="G652" s="16">
        <v>36</v>
      </c>
      <c r="H652" s="15">
        <f t="shared" si="10"/>
        <v>4</v>
      </c>
      <c r="I652" s="15">
        <v>2</v>
      </c>
      <c r="J652" s="15" t="b">
        <v>0</v>
      </c>
      <c r="K652" s="15" t="b">
        <v>1</v>
      </c>
    </row>
    <row r="653" spans="1:11" x14ac:dyDescent="0.3">
      <c r="A653" s="15" t="s">
        <v>413</v>
      </c>
      <c r="B653" s="15">
        <v>5</v>
      </c>
      <c r="C653" s="15" t="s">
        <v>515</v>
      </c>
      <c r="D653" s="15">
        <v>5</v>
      </c>
      <c r="E653" s="15">
        <v>1</v>
      </c>
      <c r="F653" s="15">
        <v>417</v>
      </c>
      <c r="G653" s="16">
        <v>36</v>
      </c>
      <c r="H653" s="15">
        <f t="shared" si="10"/>
        <v>12</v>
      </c>
      <c r="I653" s="15">
        <v>5</v>
      </c>
      <c r="J653" s="15" t="b">
        <v>0</v>
      </c>
      <c r="K653" s="15" t="b">
        <v>1</v>
      </c>
    </row>
    <row r="654" spans="1:11" x14ac:dyDescent="0.3">
      <c r="A654" s="15" t="s">
        <v>413</v>
      </c>
      <c r="B654" s="15">
        <v>5</v>
      </c>
      <c r="C654" s="15" t="s">
        <v>515</v>
      </c>
      <c r="D654" s="15">
        <v>5</v>
      </c>
      <c r="E654" s="15">
        <v>2</v>
      </c>
      <c r="F654" s="15">
        <v>405</v>
      </c>
      <c r="G654" s="16">
        <v>36</v>
      </c>
      <c r="H654" s="15">
        <f t="shared" si="10"/>
        <v>12</v>
      </c>
      <c r="I654" s="15">
        <v>5</v>
      </c>
      <c r="J654" s="15" t="b">
        <v>0</v>
      </c>
      <c r="K654" s="15" t="b">
        <v>1</v>
      </c>
    </row>
    <row r="655" spans="1:11" x14ac:dyDescent="0.3">
      <c r="A655" s="15" t="s">
        <v>413</v>
      </c>
      <c r="B655" s="15">
        <v>5</v>
      </c>
      <c r="C655" s="15" t="s">
        <v>515</v>
      </c>
      <c r="D655" s="15">
        <v>5</v>
      </c>
      <c r="E655" s="15">
        <v>3</v>
      </c>
      <c r="F655" s="15">
        <v>378</v>
      </c>
      <c r="G655" s="16">
        <v>36</v>
      </c>
      <c r="H655" s="15">
        <f t="shared" si="10"/>
        <v>11</v>
      </c>
      <c r="I655" s="15">
        <v>5</v>
      </c>
      <c r="J655" s="15" t="b">
        <v>0</v>
      </c>
      <c r="K655" s="15" t="b">
        <v>1</v>
      </c>
    </row>
    <row r="656" spans="1:11" x14ac:dyDescent="0.3">
      <c r="A656" s="15" t="s">
        <v>413</v>
      </c>
      <c r="B656" s="15">
        <v>5</v>
      </c>
      <c r="C656" s="15" t="s">
        <v>516</v>
      </c>
      <c r="D656" s="15">
        <v>1</v>
      </c>
      <c r="E656" s="15">
        <v>1</v>
      </c>
      <c r="F656" s="15">
        <v>14954</v>
      </c>
      <c r="G656" s="16">
        <v>37.65</v>
      </c>
      <c r="H656" s="15">
        <f t="shared" si="10"/>
        <v>398</v>
      </c>
      <c r="I656" s="15">
        <v>207</v>
      </c>
      <c r="J656" s="15" t="b">
        <v>1</v>
      </c>
      <c r="K656" s="15" t="b">
        <v>1</v>
      </c>
    </row>
    <row r="657" spans="1:11" x14ac:dyDescent="0.3">
      <c r="A657" s="15" t="s">
        <v>413</v>
      </c>
      <c r="B657" s="15">
        <v>5</v>
      </c>
      <c r="C657" s="15" t="s">
        <v>516</v>
      </c>
      <c r="D657" s="15">
        <v>1</v>
      </c>
      <c r="E657" s="15">
        <v>2</v>
      </c>
      <c r="F657" s="15">
        <v>14474</v>
      </c>
      <c r="G657" s="16">
        <v>37.65</v>
      </c>
      <c r="H657" s="15">
        <f t="shared" si="10"/>
        <v>385</v>
      </c>
      <c r="I657" s="15">
        <v>207</v>
      </c>
      <c r="J657" s="15" t="b">
        <v>1</v>
      </c>
      <c r="K657" s="15" t="b">
        <v>1</v>
      </c>
    </row>
    <row r="658" spans="1:11" x14ac:dyDescent="0.3">
      <c r="A658" s="15" t="s">
        <v>413</v>
      </c>
      <c r="B658" s="15">
        <v>5</v>
      </c>
      <c r="C658" s="15" t="s">
        <v>516</v>
      </c>
      <c r="D658" s="15">
        <v>1</v>
      </c>
      <c r="E658" s="15">
        <v>3</v>
      </c>
      <c r="F658" s="15">
        <v>14005</v>
      </c>
      <c r="G658" s="16">
        <v>37.65</v>
      </c>
      <c r="H658" s="15">
        <f t="shared" si="10"/>
        <v>372</v>
      </c>
      <c r="I658" s="15">
        <v>207</v>
      </c>
      <c r="J658" s="15" t="b">
        <v>1</v>
      </c>
      <c r="K658" s="15" t="b">
        <v>1</v>
      </c>
    </row>
    <row r="659" spans="1:11" x14ac:dyDescent="0.3">
      <c r="A659" s="15" t="s">
        <v>413</v>
      </c>
      <c r="B659" s="15">
        <v>5</v>
      </c>
      <c r="C659" s="15" t="s">
        <v>516</v>
      </c>
      <c r="D659" s="15">
        <v>2</v>
      </c>
      <c r="E659" s="15">
        <v>1</v>
      </c>
      <c r="F659" s="15">
        <v>4920</v>
      </c>
      <c r="G659" s="16">
        <v>37.65</v>
      </c>
      <c r="H659" s="15">
        <f t="shared" si="10"/>
        <v>131</v>
      </c>
      <c r="I659" s="15">
        <v>62</v>
      </c>
      <c r="J659" s="15" t="b">
        <v>1</v>
      </c>
      <c r="K659" s="15" t="b">
        <v>1</v>
      </c>
    </row>
    <row r="660" spans="1:11" x14ac:dyDescent="0.3">
      <c r="A660" s="15" t="s">
        <v>413</v>
      </c>
      <c r="B660" s="15">
        <v>5</v>
      </c>
      <c r="C660" s="15" t="s">
        <v>516</v>
      </c>
      <c r="D660" s="15">
        <v>2</v>
      </c>
      <c r="E660" s="15">
        <v>2</v>
      </c>
      <c r="F660" s="15">
        <v>4627</v>
      </c>
      <c r="G660" s="16">
        <v>37.65</v>
      </c>
      <c r="H660" s="15">
        <f t="shared" si="10"/>
        <v>123</v>
      </c>
      <c r="I660" s="15">
        <v>62</v>
      </c>
      <c r="J660" s="15" t="b">
        <v>1</v>
      </c>
      <c r="K660" s="15" t="b">
        <v>1</v>
      </c>
    </row>
    <row r="661" spans="1:11" x14ac:dyDescent="0.3">
      <c r="A661" s="15" t="s">
        <v>413</v>
      </c>
      <c r="B661" s="15">
        <v>5</v>
      </c>
      <c r="C661" s="15" t="s">
        <v>516</v>
      </c>
      <c r="D661" s="15">
        <v>2</v>
      </c>
      <c r="E661" s="15">
        <v>3</v>
      </c>
      <c r="F661" s="15">
        <v>4550</v>
      </c>
      <c r="G661" s="16">
        <v>37.65</v>
      </c>
      <c r="H661" s="15">
        <f t="shared" si="10"/>
        <v>121</v>
      </c>
      <c r="I661" s="15">
        <v>62</v>
      </c>
      <c r="J661" s="15" t="b">
        <v>1</v>
      </c>
      <c r="K661" s="15" t="b">
        <v>1</v>
      </c>
    </row>
    <row r="662" spans="1:11" x14ac:dyDescent="0.3">
      <c r="A662" s="15" t="s">
        <v>413</v>
      </c>
      <c r="B662" s="15">
        <v>5</v>
      </c>
      <c r="C662" s="15" t="s">
        <v>516</v>
      </c>
      <c r="D662" s="15">
        <v>3</v>
      </c>
      <c r="E662" s="15">
        <v>1</v>
      </c>
      <c r="F662" s="15">
        <v>8668</v>
      </c>
      <c r="G662" s="16">
        <v>37.65</v>
      </c>
      <c r="H662" s="15">
        <f t="shared" si="10"/>
        <v>231</v>
      </c>
      <c r="I662" s="15">
        <v>101</v>
      </c>
      <c r="J662" s="15" t="b">
        <v>1</v>
      </c>
      <c r="K662" s="15" t="b">
        <v>1</v>
      </c>
    </row>
    <row r="663" spans="1:11" x14ac:dyDescent="0.3">
      <c r="A663" s="15" t="s">
        <v>413</v>
      </c>
      <c r="B663" s="15">
        <v>5</v>
      </c>
      <c r="C663" s="15" t="s">
        <v>516</v>
      </c>
      <c r="D663" s="15">
        <v>3</v>
      </c>
      <c r="E663" s="15">
        <v>2</v>
      </c>
      <c r="F663" s="15">
        <v>8410</v>
      </c>
      <c r="G663" s="16">
        <v>37.65</v>
      </c>
      <c r="H663" s="15">
        <f t="shared" si="10"/>
        <v>224</v>
      </c>
      <c r="I663" s="15">
        <v>101</v>
      </c>
      <c r="J663" s="15" t="b">
        <v>1</v>
      </c>
      <c r="K663" s="15" t="b">
        <v>1</v>
      </c>
    </row>
    <row r="664" spans="1:11" x14ac:dyDescent="0.3">
      <c r="A664" s="15" t="s">
        <v>413</v>
      </c>
      <c r="B664" s="15">
        <v>5</v>
      </c>
      <c r="C664" s="15" t="s">
        <v>516</v>
      </c>
      <c r="D664" s="15">
        <v>3</v>
      </c>
      <c r="E664" s="15">
        <v>3</v>
      </c>
      <c r="F664" s="15">
        <v>8280</v>
      </c>
      <c r="G664" s="16">
        <v>37.65</v>
      </c>
      <c r="H664" s="15">
        <f t="shared" si="10"/>
        <v>220</v>
      </c>
      <c r="I664" s="15">
        <v>101</v>
      </c>
      <c r="J664" s="15" t="b">
        <v>1</v>
      </c>
      <c r="K664" s="15" t="b">
        <v>1</v>
      </c>
    </row>
    <row r="665" spans="1:11" x14ac:dyDescent="0.3">
      <c r="A665" s="15" t="s">
        <v>413</v>
      </c>
      <c r="B665" s="15">
        <v>5</v>
      </c>
      <c r="C665" s="15" t="s">
        <v>516</v>
      </c>
      <c r="D665" s="15">
        <v>4</v>
      </c>
      <c r="E665" s="15">
        <v>1</v>
      </c>
      <c r="F665" s="15">
        <v>364</v>
      </c>
      <c r="G665" s="16">
        <v>37.65</v>
      </c>
      <c r="H665" s="15">
        <f t="shared" si="10"/>
        <v>10</v>
      </c>
      <c r="I665" s="15">
        <v>6</v>
      </c>
      <c r="J665" s="15" t="b">
        <v>0</v>
      </c>
      <c r="K665" s="15" t="b">
        <v>1</v>
      </c>
    </row>
    <row r="666" spans="1:11" x14ac:dyDescent="0.3">
      <c r="A666" s="15" t="s">
        <v>413</v>
      </c>
      <c r="B666" s="15">
        <v>5</v>
      </c>
      <c r="C666" s="15" t="s">
        <v>516</v>
      </c>
      <c r="D666" s="15">
        <v>4</v>
      </c>
      <c r="E666" s="15">
        <v>2</v>
      </c>
      <c r="F666" s="15">
        <v>364</v>
      </c>
      <c r="G666" s="16">
        <v>37.65</v>
      </c>
      <c r="H666" s="15">
        <f t="shared" si="10"/>
        <v>10</v>
      </c>
      <c r="I666" s="15">
        <v>6</v>
      </c>
      <c r="J666" s="15" t="b">
        <v>0</v>
      </c>
      <c r="K666" s="15" t="b">
        <v>1</v>
      </c>
    </row>
    <row r="667" spans="1:11" x14ac:dyDescent="0.3">
      <c r="A667" s="15" t="s">
        <v>413</v>
      </c>
      <c r="B667" s="15">
        <v>5</v>
      </c>
      <c r="C667" s="15" t="s">
        <v>516</v>
      </c>
      <c r="D667" s="15">
        <v>4</v>
      </c>
      <c r="E667" s="15">
        <v>3</v>
      </c>
      <c r="F667" s="15">
        <v>360</v>
      </c>
      <c r="G667" s="16">
        <v>37.65</v>
      </c>
      <c r="H667" s="15">
        <f t="shared" si="10"/>
        <v>10</v>
      </c>
      <c r="I667" s="15">
        <v>6</v>
      </c>
      <c r="J667" s="15" t="b">
        <v>0</v>
      </c>
      <c r="K667" s="15" t="b">
        <v>1</v>
      </c>
    </row>
    <row r="668" spans="1:11" x14ac:dyDescent="0.3">
      <c r="A668" s="15" t="s">
        <v>413</v>
      </c>
      <c r="B668" s="15">
        <v>5</v>
      </c>
      <c r="C668" s="15" t="s">
        <v>516</v>
      </c>
      <c r="D668" s="15">
        <v>5</v>
      </c>
      <c r="E668" s="15">
        <v>1</v>
      </c>
      <c r="F668" s="15">
        <v>528</v>
      </c>
      <c r="G668" s="16">
        <v>37.65</v>
      </c>
      <c r="H668" s="15">
        <f t="shared" si="10"/>
        <v>15</v>
      </c>
      <c r="I668" s="15">
        <v>5</v>
      </c>
      <c r="J668" s="15" t="b">
        <v>0</v>
      </c>
      <c r="K668" s="15" t="b">
        <v>1</v>
      </c>
    </row>
    <row r="669" spans="1:11" x14ac:dyDescent="0.3">
      <c r="A669" s="15" t="s">
        <v>413</v>
      </c>
      <c r="B669" s="15">
        <v>5</v>
      </c>
      <c r="C669" s="15" t="s">
        <v>516</v>
      </c>
      <c r="D669" s="15">
        <v>5</v>
      </c>
      <c r="E669" s="15">
        <v>2</v>
      </c>
      <c r="F669" s="15">
        <v>569</v>
      </c>
      <c r="G669" s="16">
        <v>37.65</v>
      </c>
      <c r="H669" s="15">
        <f t="shared" si="10"/>
        <v>16</v>
      </c>
      <c r="I669" s="15">
        <v>5</v>
      </c>
      <c r="J669" s="15" t="b">
        <v>0</v>
      </c>
      <c r="K669" s="15" t="b">
        <v>1</v>
      </c>
    </row>
    <row r="670" spans="1:11" x14ac:dyDescent="0.3">
      <c r="A670" s="15" t="s">
        <v>413</v>
      </c>
      <c r="B670" s="15">
        <v>5</v>
      </c>
      <c r="C670" s="15" t="s">
        <v>516</v>
      </c>
      <c r="D670" s="15">
        <v>5</v>
      </c>
      <c r="E670" s="15">
        <v>3</v>
      </c>
      <c r="F670" s="15">
        <v>521</v>
      </c>
      <c r="G670" s="16">
        <v>37.65</v>
      </c>
      <c r="H670" s="15">
        <f t="shared" si="10"/>
        <v>14</v>
      </c>
      <c r="I670" s="15">
        <v>5</v>
      </c>
      <c r="J670" s="15" t="b">
        <v>0</v>
      </c>
      <c r="K670" s="15" t="b">
        <v>1</v>
      </c>
    </row>
    <row r="671" spans="1:11" x14ac:dyDescent="0.3">
      <c r="A671" s="15" t="s">
        <v>413</v>
      </c>
      <c r="B671" s="15">
        <v>5</v>
      </c>
      <c r="C671" s="15" t="s">
        <v>517</v>
      </c>
      <c r="D671" s="15">
        <v>1</v>
      </c>
      <c r="E671" s="15">
        <v>1</v>
      </c>
      <c r="F671" s="15">
        <v>3716</v>
      </c>
      <c r="G671" s="16">
        <v>36.54</v>
      </c>
      <c r="H671" s="15">
        <f t="shared" si="10"/>
        <v>102</v>
      </c>
      <c r="I671" s="15">
        <v>65</v>
      </c>
      <c r="J671" s="15" t="b">
        <v>1</v>
      </c>
      <c r="K671" s="15" t="b">
        <v>1</v>
      </c>
    </row>
    <row r="672" spans="1:11" x14ac:dyDescent="0.3">
      <c r="A672" s="15" t="s">
        <v>413</v>
      </c>
      <c r="B672" s="15">
        <v>5</v>
      </c>
      <c r="C672" s="15" t="s">
        <v>517</v>
      </c>
      <c r="D672" s="15">
        <v>1</v>
      </c>
      <c r="E672" s="15">
        <v>2</v>
      </c>
      <c r="F672" s="15">
        <v>3591</v>
      </c>
      <c r="G672" s="16">
        <v>36.54</v>
      </c>
      <c r="H672" s="15">
        <f t="shared" si="10"/>
        <v>99</v>
      </c>
      <c r="I672" s="15">
        <v>65</v>
      </c>
      <c r="J672" s="15" t="b">
        <v>1</v>
      </c>
      <c r="K672" s="15" t="b">
        <v>1</v>
      </c>
    </row>
    <row r="673" spans="1:11" x14ac:dyDescent="0.3">
      <c r="A673" s="15" t="s">
        <v>413</v>
      </c>
      <c r="B673" s="15">
        <v>5</v>
      </c>
      <c r="C673" s="15" t="s">
        <v>517</v>
      </c>
      <c r="D673" s="15">
        <v>1</v>
      </c>
      <c r="E673" s="15">
        <v>3</v>
      </c>
      <c r="F673" s="15">
        <v>3699</v>
      </c>
      <c r="G673" s="16">
        <v>36.54</v>
      </c>
      <c r="H673" s="15">
        <f t="shared" si="10"/>
        <v>102</v>
      </c>
      <c r="I673" s="15">
        <v>65</v>
      </c>
      <c r="J673" s="15" t="b">
        <v>1</v>
      </c>
      <c r="K673" s="15" t="b">
        <v>1</v>
      </c>
    </row>
    <row r="674" spans="1:11" x14ac:dyDescent="0.3">
      <c r="A674" s="15" t="s">
        <v>413</v>
      </c>
      <c r="B674" s="15">
        <v>5</v>
      </c>
      <c r="C674" s="15" t="s">
        <v>517</v>
      </c>
      <c r="D674" s="15">
        <v>2</v>
      </c>
      <c r="E674" s="15">
        <v>1</v>
      </c>
      <c r="F674" s="15">
        <v>20222</v>
      </c>
      <c r="G674" s="16">
        <v>36.54</v>
      </c>
      <c r="H674" s="15">
        <f t="shared" si="10"/>
        <v>554</v>
      </c>
      <c r="I674" s="15">
        <v>321</v>
      </c>
      <c r="J674" s="15" t="b">
        <v>1</v>
      </c>
      <c r="K674" s="15" t="b">
        <v>1</v>
      </c>
    </row>
    <row r="675" spans="1:11" x14ac:dyDescent="0.3">
      <c r="A675" s="15" t="s">
        <v>413</v>
      </c>
      <c r="B675" s="15">
        <v>5</v>
      </c>
      <c r="C675" s="15" t="s">
        <v>517</v>
      </c>
      <c r="D675" s="15">
        <v>2</v>
      </c>
      <c r="E675" s="15">
        <v>2</v>
      </c>
      <c r="F675" s="15">
        <v>19224</v>
      </c>
      <c r="G675" s="16">
        <v>36.54</v>
      </c>
      <c r="H675" s="15">
        <f t="shared" si="10"/>
        <v>527</v>
      </c>
      <c r="I675" s="15">
        <v>321</v>
      </c>
      <c r="J675" s="15" t="b">
        <v>1</v>
      </c>
      <c r="K675" s="15" t="b">
        <v>1</v>
      </c>
    </row>
    <row r="676" spans="1:11" x14ac:dyDescent="0.3">
      <c r="A676" s="15" t="s">
        <v>413</v>
      </c>
      <c r="B676" s="15">
        <v>5</v>
      </c>
      <c r="C676" s="15" t="s">
        <v>517</v>
      </c>
      <c r="D676" s="15">
        <v>2</v>
      </c>
      <c r="E676" s="15">
        <v>3</v>
      </c>
      <c r="F676" s="15">
        <v>19600</v>
      </c>
      <c r="G676" s="16">
        <v>36.54</v>
      </c>
      <c r="H676" s="15">
        <f t="shared" si="10"/>
        <v>537</v>
      </c>
      <c r="I676" s="15">
        <v>321</v>
      </c>
      <c r="J676" s="15" t="b">
        <v>1</v>
      </c>
      <c r="K676" s="15" t="b">
        <v>1</v>
      </c>
    </row>
    <row r="677" spans="1:11" x14ac:dyDescent="0.3">
      <c r="A677" s="15" t="s">
        <v>413</v>
      </c>
      <c r="B677" s="15">
        <v>5</v>
      </c>
      <c r="C677" s="15" t="s">
        <v>517</v>
      </c>
      <c r="D677" s="15">
        <v>3</v>
      </c>
      <c r="E677" s="15">
        <v>1</v>
      </c>
      <c r="F677" s="15">
        <v>6781</v>
      </c>
      <c r="G677" s="16">
        <v>36.54</v>
      </c>
      <c r="H677" s="15">
        <f t="shared" si="10"/>
        <v>186</v>
      </c>
      <c r="I677" s="15">
        <v>88</v>
      </c>
      <c r="J677" s="15" t="b">
        <v>1</v>
      </c>
      <c r="K677" s="15" t="b">
        <v>1</v>
      </c>
    </row>
    <row r="678" spans="1:11" x14ac:dyDescent="0.3">
      <c r="A678" s="15" t="s">
        <v>413</v>
      </c>
      <c r="B678" s="15">
        <v>5</v>
      </c>
      <c r="C678" s="15" t="s">
        <v>517</v>
      </c>
      <c r="D678" s="15">
        <v>3</v>
      </c>
      <c r="E678" s="15">
        <v>2</v>
      </c>
      <c r="F678" s="15">
        <v>6332</v>
      </c>
      <c r="G678" s="16">
        <v>36.54</v>
      </c>
      <c r="H678" s="15">
        <f t="shared" si="10"/>
        <v>174</v>
      </c>
      <c r="I678" s="15">
        <v>88</v>
      </c>
      <c r="J678" s="15" t="b">
        <v>1</v>
      </c>
      <c r="K678" s="15" t="b">
        <v>1</v>
      </c>
    </row>
    <row r="679" spans="1:11" x14ac:dyDescent="0.3">
      <c r="A679" s="15" t="s">
        <v>413</v>
      </c>
      <c r="B679" s="15">
        <v>5</v>
      </c>
      <c r="C679" s="15" t="s">
        <v>517</v>
      </c>
      <c r="D679" s="15">
        <v>3</v>
      </c>
      <c r="E679" s="15">
        <v>3</v>
      </c>
      <c r="F679" s="15">
        <v>6456</v>
      </c>
      <c r="G679" s="16">
        <v>36.54</v>
      </c>
      <c r="H679" s="15">
        <f t="shared" si="10"/>
        <v>177</v>
      </c>
      <c r="I679" s="15">
        <v>88</v>
      </c>
      <c r="J679" s="15" t="b">
        <v>1</v>
      </c>
      <c r="K679" s="15" t="b">
        <v>1</v>
      </c>
    </row>
    <row r="680" spans="1:11" x14ac:dyDescent="0.3">
      <c r="A680" s="15" t="s">
        <v>413</v>
      </c>
      <c r="B680" s="15">
        <v>5</v>
      </c>
      <c r="C680" s="15" t="s">
        <v>517</v>
      </c>
      <c r="D680" s="15">
        <v>4</v>
      </c>
      <c r="E680" s="15">
        <v>1</v>
      </c>
      <c r="F680" s="15">
        <v>238</v>
      </c>
      <c r="G680" s="16">
        <v>36.54</v>
      </c>
      <c r="H680" s="15">
        <f t="shared" si="10"/>
        <v>7</v>
      </c>
      <c r="I680" s="15">
        <v>2</v>
      </c>
      <c r="J680" s="15" t="b">
        <v>0</v>
      </c>
      <c r="K680" s="15" t="b">
        <v>1</v>
      </c>
    </row>
    <row r="681" spans="1:11" x14ac:dyDescent="0.3">
      <c r="A681" s="15" t="s">
        <v>413</v>
      </c>
      <c r="B681" s="15">
        <v>5</v>
      </c>
      <c r="C681" s="15" t="s">
        <v>517</v>
      </c>
      <c r="D681" s="15">
        <v>4</v>
      </c>
      <c r="E681" s="15">
        <v>2</v>
      </c>
      <c r="F681" s="15">
        <v>232</v>
      </c>
      <c r="G681" s="16">
        <v>36.54</v>
      </c>
      <c r="H681" s="15">
        <f t="shared" si="10"/>
        <v>7</v>
      </c>
      <c r="I681" s="15">
        <v>2</v>
      </c>
      <c r="J681" s="15" t="b">
        <v>0</v>
      </c>
      <c r="K681" s="15" t="b">
        <v>1</v>
      </c>
    </row>
    <row r="682" spans="1:11" x14ac:dyDescent="0.3">
      <c r="A682" s="15" t="s">
        <v>413</v>
      </c>
      <c r="B682" s="15">
        <v>5</v>
      </c>
      <c r="C682" s="15" t="s">
        <v>517</v>
      </c>
      <c r="D682" s="15">
        <v>4</v>
      </c>
      <c r="E682" s="15">
        <v>3</v>
      </c>
      <c r="F682" s="15">
        <v>218</v>
      </c>
      <c r="G682" s="16">
        <v>36.54</v>
      </c>
      <c r="H682" s="15">
        <f t="shared" si="10"/>
        <v>6</v>
      </c>
      <c r="I682" s="15">
        <v>2</v>
      </c>
      <c r="J682" s="15" t="b">
        <v>0</v>
      </c>
      <c r="K682" s="15" t="b">
        <v>1</v>
      </c>
    </row>
    <row r="683" spans="1:11" x14ac:dyDescent="0.3">
      <c r="A683" s="15" t="s">
        <v>413</v>
      </c>
      <c r="B683" s="15">
        <v>5</v>
      </c>
      <c r="C683" s="15" t="s">
        <v>517</v>
      </c>
      <c r="D683" s="15">
        <v>5</v>
      </c>
      <c r="E683" s="15">
        <v>1</v>
      </c>
      <c r="F683" s="15">
        <v>419</v>
      </c>
      <c r="G683" s="16">
        <v>36.54</v>
      </c>
      <c r="H683" s="15">
        <f t="shared" si="10"/>
        <v>12</v>
      </c>
      <c r="I683" s="15">
        <v>4</v>
      </c>
      <c r="J683" s="15" t="b">
        <v>0</v>
      </c>
      <c r="K683" s="15" t="b">
        <v>1</v>
      </c>
    </row>
    <row r="684" spans="1:11" x14ac:dyDescent="0.3">
      <c r="A684" s="15" t="s">
        <v>413</v>
      </c>
      <c r="B684" s="15">
        <v>5</v>
      </c>
      <c r="C684" s="15" t="s">
        <v>517</v>
      </c>
      <c r="D684" s="15">
        <v>5</v>
      </c>
      <c r="E684" s="15">
        <v>2</v>
      </c>
      <c r="F684" s="15">
        <v>423</v>
      </c>
      <c r="G684" s="16">
        <v>36.54</v>
      </c>
      <c r="H684" s="15">
        <f t="shared" si="10"/>
        <v>12</v>
      </c>
      <c r="I684" s="15">
        <v>4</v>
      </c>
      <c r="J684" s="15" t="b">
        <v>0</v>
      </c>
      <c r="K684" s="15" t="b">
        <v>1</v>
      </c>
    </row>
    <row r="685" spans="1:11" x14ac:dyDescent="0.3">
      <c r="A685" s="15" t="s">
        <v>413</v>
      </c>
      <c r="B685" s="15">
        <v>5</v>
      </c>
      <c r="C685" s="15" t="s">
        <v>517</v>
      </c>
      <c r="D685" s="15">
        <v>5</v>
      </c>
      <c r="E685" s="15">
        <v>3</v>
      </c>
      <c r="F685" s="15">
        <v>415</v>
      </c>
      <c r="G685" s="16">
        <v>36.54</v>
      </c>
      <c r="H685" s="15">
        <f t="shared" si="10"/>
        <v>12</v>
      </c>
      <c r="I685" s="15">
        <v>4</v>
      </c>
      <c r="J685" s="15" t="b">
        <v>0</v>
      </c>
      <c r="K685" s="15" t="b">
        <v>1</v>
      </c>
    </row>
    <row r="686" spans="1:11" x14ac:dyDescent="0.3">
      <c r="A686" s="15" t="s">
        <v>413</v>
      </c>
      <c r="B686" s="15">
        <v>5</v>
      </c>
      <c r="C686" s="15" t="s">
        <v>518</v>
      </c>
      <c r="D686" s="15">
        <v>1</v>
      </c>
      <c r="E686" s="15">
        <v>1</v>
      </c>
      <c r="F686" s="15">
        <v>2489</v>
      </c>
      <c r="G686" s="16">
        <v>37.39</v>
      </c>
      <c r="H686" s="15">
        <f t="shared" si="10"/>
        <v>67</v>
      </c>
      <c r="I686" s="15">
        <v>36</v>
      </c>
      <c r="J686" s="15" t="b">
        <v>1</v>
      </c>
      <c r="K686" s="15" t="b">
        <v>1</v>
      </c>
    </row>
    <row r="687" spans="1:11" x14ac:dyDescent="0.3">
      <c r="A687" s="15" t="s">
        <v>413</v>
      </c>
      <c r="B687" s="15">
        <v>5</v>
      </c>
      <c r="C687" s="15" t="s">
        <v>518</v>
      </c>
      <c r="D687" s="15">
        <v>1</v>
      </c>
      <c r="E687" s="15">
        <v>2</v>
      </c>
      <c r="F687" s="15">
        <v>2361</v>
      </c>
      <c r="G687" s="16">
        <v>37.39</v>
      </c>
      <c r="H687" s="15">
        <f t="shared" si="10"/>
        <v>64</v>
      </c>
      <c r="I687" s="15">
        <v>36</v>
      </c>
      <c r="J687" s="15" t="b">
        <v>1</v>
      </c>
      <c r="K687" s="15" t="b">
        <v>1</v>
      </c>
    </row>
    <row r="688" spans="1:11" x14ac:dyDescent="0.3">
      <c r="A688" s="15" t="s">
        <v>413</v>
      </c>
      <c r="B688" s="15">
        <v>5</v>
      </c>
      <c r="C688" s="15" t="s">
        <v>518</v>
      </c>
      <c r="D688" s="15">
        <v>1</v>
      </c>
      <c r="E688" s="15">
        <v>3</v>
      </c>
      <c r="F688" s="15">
        <v>2425</v>
      </c>
      <c r="G688" s="16">
        <v>37.39</v>
      </c>
      <c r="H688" s="15">
        <f t="shared" si="10"/>
        <v>65</v>
      </c>
      <c r="I688" s="15">
        <v>36</v>
      </c>
      <c r="J688" s="15" t="b">
        <v>1</v>
      </c>
      <c r="K688" s="15" t="b">
        <v>1</v>
      </c>
    </row>
    <row r="689" spans="1:11" x14ac:dyDescent="0.3">
      <c r="A689" s="15" t="s">
        <v>413</v>
      </c>
      <c r="B689" s="15">
        <v>5</v>
      </c>
      <c r="C689" s="15" t="s">
        <v>518</v>
      </c>
      <c r="D689" s="15">
        <v>2</v>
      </c>
      <c r="E689" s="15">
        <v>1</v>
      </c>
      <c r="F689" s="15">
        <v>8133</v>
      </c>
      <c r="G689" s="16">
        <v>37.39</v>
      </c>
      <c r="H689" s="15">
        <f t="shared" si="10"/>
        <v>218</v>
      </c>
      <c r="I689" s="15">
        <v>113</v>
      </c>
      <c r="J689" s="15" t="b">
        <v>1</v>
      </c>
      <c r="K689" s="15" t="b">
        <v>1</v>
      </c>
    </row>
    <row r="690" spans="1:11" x14ac:dyDescent="0.3">
      <c r="A690" s="15" t="s">
        <v>413</v>
      </c>
      <c r="B690" s="15">
        <v>5</v>
      </c>
      <c r="C690" s="15" t="s">
        <v>518</v>
      </c>
      <c r="D690" s="15">
        <v>2</v>
      </c>
      <c r="E690" s="15">
        <v>2</v>
      </c>
      <c r="F690" s="15">
        <v>8016</v>
      </c>
      <c r="G690" s="16">
        <v>37.39</v>
      </c>
      <c r="H690" s="15">
        <f t="shared" si="10"/>
        <v>215</v>
      </c>
      <c r="I690" s="15">
        <v>113</v>
      </c>
      <c r="J690" s="15" t="b">
        <v>1</v>
      </c>
      <c r="K690" s="15" t="b">
        <v>1</v>
      </c>
    </row>
    <row r="691" spans="1:11" x14ac:dyDescent="0.3">
      <c r="A691" s="15" t="s">
        <v>413</v>
      </c>
      <c r="B691" s="15">
        <v>5</v>
      </c>
      <c r="C691" s="15" t="s">
        <v>518</v>
      </c>
      <c r="D691" s="15">
        <v>2</v>
      </c>
      <c r="E691" s="15">
        <v>3</v>
      </c>
      <c r="F691" s="15">
        <v>7542</v>
      </c>
      <c r="G691" s="16">
        <v>37.39</v>
      </c>
      <c r="H691" s="15">
        <f t="shared" si="10"/>
        <v>202</v>
      </c>
      <c r="I691" s="15">
        <v>113</v>
      </c>
      <c r="J691" s="15" t="b">
        <v>1</v>
      </c>
      <c r="K691" s="15" t="b">
        <v>1</v>
      </c>
    </row>
    <row r="692" spans="1:11" x14ac:dyDescent="0.3">
      <c r="A692" s="15" t="s">
        <v>413</v>
      </c>
      <c r="B692" s="15">
        <v>5</v>
      </c>
      <c r="C692" s="15" t="s">
        <v>518</v>
      </c>
      <c r="D692" s="15">
        <v>3</v>
      </c>
      <c r="E692" s="15">
        <v>1</v>
      </c>
      <c r="F692" s="15">
        <v>2435</v>
      </c>
      <c r="G692" s="16">
        <v>37.39</v>
      </c>
      <c r="H692" s="15">
        <f t="shared" si="10"/>
        <v>66</v>
      </c>
      <c r="I692" s="15">
        <v>19</v>
      </c>
      <c r="J692" s="15" t="b">
        <v>1</v>
      </c>
      <c r="K692" s="15" t="b">
        <v>1</v>
      </c>
    </row>
    <row r="693" spans="1:11" x14ac:dyDescent="0.3">
      <c r="A693" s="15" t="s">
        <v>413</v>
      </c>
      <c r="B693" s="15">
        <v>5</v>
      </c>
      <c r="C693" s="15" t="s">
        <v>518</v>
      </c>
      <c r="D693" s="15">
        <v>3</v>
      </c>
      <c r="E693" s="15">
        <v>2</v>
      </c>
      <c r="F693" s="15">
        <v>2348</v>
      </c>
      <c r="G693" s="16">
        <v>37.39</v>
      </c>
      <c r="H693" s="15">
        <f t="shared" si="10"/>
        <v>63</v>
      </c>
      <c r="I693" s="15">
        <v>19</v>
      </c>
      <c r="J693" s="15" t="b">
        <v>1</v>
      </c>
      <c r="K693" s="15" t="b">
        <v>1</v>
      </c>
    </row>
    <row r="694" spans="1:11" x14ac:dyDescent="0.3">
      <c r="A694" s="15" t="s">
        <v>413</v>
      </c>
      <c r="B694" s="15">
        <v>5</v>
      </c>
      <c r="C694" s="15" t="s">
        <v>518</v>
      </c>
      <c r="D694" s="15">
        <v>3</v>
      </c>
      <c r="E694" s="15">
        <v>3</v>
      </c>
      <c r="F694" s="15">
        <v>2238</v>
      </c>
      <c r="G694" s="16">
        <v>37.39</v>
      </c>
      <c r="H694" s="15">
        <f t="shared" si="10"/>
        <v>60</v>
      </c>
      <c r="I694" s="15">
        <v>19</v>
      </c>
      <c r="J694" s="15" t="b">
        <v>1</v>
      </c>
      <c r="K694" s="15" t="b">
        <v>1</v>
      </c>
    </row>
    <row r="695" spans="1:11" x14ac:dyDescent="0.3">
      <c r="A695" s="15" t="s">
        <v>413</v>
      </c>
      <c r="B695" s="15">
        <v>5</v>
      </c>
      <c r="C695" s="15" t="s">
        <v>518</v>
      </c>
      <c r="D695" s="15">
        <v>4</v>
      </c>
      <c r="E695" s="15">
        <v>1</v>
      </c>
      <c r="F695" s="15">
        <v>133</v>
      </c>
      <c r="G695" s="16">
        <v>37.39</v>
      </c>
      <c r="H695" s="15">
        <f t="shared" si="10"/>
        <v>4</v>
      </c>
      <c r="I695" s="15">
        <v>2</v>
      </c>
      <c r="J695" s="15" t="b">
        <v>0</v>
      </c>
      <c r="K695" s="15" t="b">
        <v>1</v>
      </c>
    </row>
    <row r="696" spans="1:11" x14ac:dyDescent="0.3">
      <c r="A696" s="15" t="s">
        <v>413</v>
      </c>
      <c r="B696" s="15">
        <v>5</v>
      </c>
      <c r="C696" s="15" t="s">
        <v>518</v>
      </c>
      <c r="D696" s="15">
        <v>4</v>
      </c>
      <c r="E696" s="15">
        <v>2</v>
      </c>
      <c r="F696" s="15">
        <v>138</v>
      </c>
      <c r="G696" s="16">
        <v>37.39</v>
      </c>
      <c r="H696" s="15">
        <f t="shared" si="10"/>
        <v>4</v>
      </c>
      <c r="I696" s="15">
        <v>2</v>
      </c>
      <c r="J696" s="15" t="b">
        <v>0</v>
      </c>
      <c r="K696" s="15" t="b">
        <v>1</v>
      </c>
    </row>
    <row r="697" spans="1:11" x14ac:dyDescent="0.3">
      <c r="A697" s="15" t="s">
        <v>413</v>
      </c>
      <c r="B697" s="15">
        <v>5</v>
      </c>
      <c r="C697" s="15" t="s">
        <v>518</v>
      </c>
      <c r="D697" s="15">
        <v>4</v>
      </c>
      <c r="E697" s="15">
        <v>3</v>
      </c>
      <c r="F697" s="15">
        <v>125</v>
      </c>
      <c r="G697" s="16">
        <v>37.39</v>
      </c>
      <c r="H697" s="15">
        <f t="shared" si="10"/>
        <v>4</v>
      </c>
      <c r="I697" s="15">
        <v>2</v>
      </c>
      <c r="J697" s="15" t="b">
        <v>0</v>
      </c>
      <c r="K697" s="15" t="b">
        <v>1</v>
      </c>
    </row>
    <row r="698" spans="1:11" x14ac:dyDescent="0.3">
      <c r="A698" s="15" t="s">
        <v>413</v>
      </c>
      <c r="B698" s="15">
        <v>5</v>
      </c>
      <c r="C698" s="15" t="s">
        <v>518</v>
      </c>
      <c r="D698" s="15">
        <v>5</v>
      </c>
      <c r="E698" s="15">
        <v>1</v>
      </c>
      <c r="F698" s="15">
        <v>1677</v>
      </c>
      <c r="G698" s="16">
        <v>37.39</v>
      </c>
      <c r="H698" s="15">
        <f t="shared" si="10"/>
        <v>45</v>
      </c>
      <c r="I698" s="15">
        <v>16</v>
      </c>
      <c r="J698" s="15" t="b">
        <v>0</v>
      </c>
      <c r="K698" s="15" t="b">
        <v>1</v>
      </c>
    </row>
    <row r="699" spans="1:11" x14ac:dyDescent="0.3">
      <c r="A699" s="15" t="s">
        <v>413</v>
      </c>
      <c r="B699" s="15">
        <v>5</v>
      </c>
      <c r="C699" s="15" t="s">
        <v>518</v>
      </c>
      <c r="D699" s="15">
        <v>5</v>
      </c>
      <c r="E699" s="15">
        <v>2</v>
      </c>
      <c r="F699" s="15">
        <v>1701</v>
      </c>
      <c r="G699" s="16">
        <v>37.39</v>
      </c>
      <c r="H699" s="15">
        <f t="shared" si="10"/>
        <v>46</v>
      </c>
      <c r="I699" s="15">
        <v>16</v>
      </c>
      <c r="J699" s="15" t="b">
        <v>0</v>
      </c>
      <c r="K699" s="15" t="b">
        <v>1</v>
      </c>
    </row>
    <row r="700" spans="1:11" x14ac:dyDescent="0.3">
      <c r="A700" s="15" t="s">
        <v>413</v>
      </c>
      <c r="B700" s="15">
        <v>5</v>
      </c>
      <c r="C700" s="15" t="s">
        <v>518</v>
      </c>
      <c r="D700" s="15">
        <v>5</v>
      </c>
      <c r="E700" s="15">
        <v>3</v>
      </c>
      <c r="F700" s="15">
        <v>1737</v>
      </c>
      <c r="G700" s="16">
        <v>37.39</v>
      </c>
      <c r="H700" s="15">
        <f t="shared" si="10"/>
        <v>47</v>
      </c>
      <c r="I700" s="15">
        <v>16</v>
      </c>
      <c r="J700" s="15" t="b">
        <v>0</v>
      </c>
      <c r="K700" s="15" t="b">
        <v>1</v>
      </c>
    </row>
    <row r="701" spans="1:11" x14ac:dyDescent="0.3">
      <c r="A701" s="15" t="s">
        <v>416</v>
      </c>
      <c r="B701" s="15">
        <v>6</v>
      </c>
      <c r="C701" s="15" t="s">
        <v>519</v>
      </c>
      <c r="D701" s="15">
        <v>1</v>
      </c>
      <c r="E701" s="15">
        <v>1</v>
      </c>
      <c r="F701" s="15">
        <v>4780</v>
      </c>
      <c r="G701" s="16">
        <v>32.53</v>
      </c>
      <c r="H701" s="15">
        <f t="shared" si="10"/>
        <v>147</v>
      </c>
      <c r="I701" s="15">
        <v>79</v>
      </c>
      <c r="J701" s="15" t="b">
        <v>1</v>
      </c>
      <c r="K701" s="15" t="b">
        <v>1</v>
      </c>
    </row>
    <row r="702" spans="1:11" x14ac:dyDescent="0.3">
      <c r="A702" s="15" t="s">
        <v>416</v>
      </c>
      <c r="B702" s="15">
        <v>6</v>
      </c>
      <c r="C702" s="15" t="s">
        <v>519</v>
      </c>
      <c r="D702" s="15">
        <v>1</v>
      </c>
      <c r="E702" s="15">
        <v>2</v>
      </c>
      <c r="F702" s="15">
        <v>5420</v>
      </c>
      <c r="G702" s="16">
        <v>32.53</v>
      </c>
      <c r="H702" s="15">
        <f t="shared" si="10"/>
        <v>167</v>
      </c>
      <c r="I702" s="15">
        <v>79</v>
      </c>
      <c r="J702" s="15" t="b">
        <v>1</v>
      </c>
      <c r="K702" s="15" t="b">
        <v>1</v>
      </c>
    </row>
    <row r="703" spans="1:11" x14ac:dyDescent="0.3">
      <c r="A703" s="15" t="s">
        <v>416</v>
      </c>
      <c r="B703" s="15">
        <v>6</v>
      </c>
      <c r="C703" s="15" t="s">
        <v>519</v>
      </c>
      <c r="D703" s="15">
        <v>1</v>
      </c>
      <c r="E703" s="15">
        <v>3</v>
      </c>
      <c r="F703" s="15">
        <v>5584</v>
      </c>
      <c r="G703" s="16">
        <v>32.53</v>
      </c>
      <c r="H703" s="15">
        <f t="shared" si="10"/>
        <v>172</v>
      </c>
      <c r="I703" s="15">
        <v>79</v>
      </c>
      <c r="J703" s="15" t="b">
        <v>1</v>
      </c>
      <c r="K703" s="15" t="b">
        <v>1</v>
      </c>
    </row>
    <row r="704" spans="1:11" x14ac:dyDescent="0.3">
      <c r="A704" s="15" t="s">
        <v>416</v>
      </c>
      <c r="B704" s="15">
        <v>6</v>
      </c>
      <c r="C704" s="15" t="s">
        <v>519</v>
      </c>
      <c r="D704" s="15">
        <v>2</v>
      </c>
      <c r="E704" s="15">
        <v>1</v>
      </c>
      <c r="F704" s="15">
        <v>5484</v>
      </c>
      <c r="G704" s="16">
        <v>32.53</v>
      </c>
      <c r="H704" s="15">
        <f t="shared" si="10"/>
        <v>169</v>
      </c>
      <c r="I704" s="15">
        <v>81</v>
      </c>
      <c r="J704" s="15" t="b">
        <v>1</v>
      </c>
      <c r="K704" s="15" t="b">
        <v>1</v>
      </c>
    </row>
    <row r="705" spans="1:11" x14ac:dyDescent="0.3">
      <c r="A705" s="15" t="s">
        <v>416</v>
      </c>
      <c r="B705" s="15">
        <v>6</v>
      </c>
      <c r="C705" s="15" t="s">
        <v>519</v>
      </c>
      <c r="D705" s="15">
        <v>2</v>
      </c>
      <c r="E705" s="15">
        <v>2</v>
      </c>
      <c r="F705" s="15">
        <v>6072</v>
      </c>
      <c r="G705" s="16">
        <v>32.53</v>
      </c>
      <c r="H705" s="15">
        <f t="shared" si="10"/>
        <v>187</v>
      </c>
      <c r="I705" s="15">
        <v>81</v>
      </c>
      <c r="J705" s="15" t="b">
        <v>1</v>
      </c>
      <c r="K705" s="15" t="b">
        <v>1</v>
      </c>
    </row>
    <row r="706" spans="1:11" x14ac:dyDescent="0.3">
      <c r="A706" s="15" t="s">
        <v>416</v>
      </c>
      <c r="B706" s="15">
        <v>6</v>
      </c>
      <c r="C706" s="15" t="s">
        <v>519</v>
      </c>
      <c r="D706" s="15">
        <v>2</v>
      </c>
      <c r="E706" s="15">
        <v>3</v>
      </c>
      <c r="F706" s="15">
        <v>6048</v>
      </c>
      <c r="G706" s="16">
        <v>32.53</v>
      </c>
      <c r="H706" s="15">
        <f t="shared" si="10"/>
        <v>186</v>
      </c>
      <c r="I706" s="15">
        <v>81</v>
      </c>
      <c r="J706" s="15" t="b">
        <v>1</v>
      </c>
      <c r="K706" s="15" t="b">
        <v>1</v>
      </c>
    </row>
    <row r="707" spans="1:11" x14ac:dyDescent="0.3">
      <c r="A707" s="15" t="s">
        <v>416</v>
      </c>
      <c r="B707" s="15">
        <v>6</v>
      </c>
      <c r="C707" s="15" t="s">
        <v>519</v>
      </c>
      <c r="D707" s="15">
        <v>3</v>
      </c>
      <c r="E707" s="15">
        <v>1</v>
      </c>
      <c r="F707" s="15">
        <v>4195</v>
      </c>
      <c r="G707" s="16">
        <v>32.53</v>
      </c>
      <c r="H707" s="15">
        <f t="shared" ref="H707:H770" si="11">ROUNDUP(F707/G707,0)</f>
        <v>129</v>
      </c>
      <c r="I707" s="15">
        <v>66</v>
      </c>
      <c r="J707" s="15" t="b">
        <v>1</v>
      </c>
      <c r="K707" s="15" t="b">
        <v>1</v>
      </c>
    </row>
    <row r="708" spans="1:11" x14ac:dyDescent="0.3">
      <c r="A708" s="15" t="s">
        <v>416</v>
      </c>
      <c r="B708" s="15">
        <v>6</v>
      </c>
      <c r="C708" s="15" t="s">
        <v>519</v>
      </c>
      <c r="D708" s="15">
        <v>3</v>
      </c>
      <c r="E708" s="15">
        <v>2</v>
      </c>
      <c r="F708" s="15">
        <v>4941</v>
      </c>
      <c r="G708" s="16">
        <v>32.53</v>
      </c>
      <c r="H708" s="15">
        <f t="shared" si="11"/>
        <v>152</v>
      </c>
      <c r="I708" s="15">
        <v>66</v>
      </c>
      <c r="J708" s="15" t="b">
        <v>1</v>
      </c>
      <c r="K708" s="15" t="b">
        <v>1</v>
      </c>
    </row>
    <row r="709" spans="1:11" x14ac:dyDescent="0.3">
      <c r="A709" s="15" t="s">
        <v>416</v>
      </c>
      <c r="B709" s="15">
        <v>6</v>
      </c>
      <c r="C709" s="15" t="s">
        <v>519</v>
      </c>
      <c r="D709" s="15">
        <v>3</v>
      </c>
      <c r="E709" s="15">
        <v>3</v>
      </c>
      <c r="F709" s="15">
        <v>4862</v>
      </c>
      <c r="G709" s="16">
        <v>32.53</v>
      </c>
      <c r="H709" s="15">
        <f t="shared" si="11"/>
        <v>150</v>
      </c>
      <c r="I709" s="15">
        <v>66</v>
      </c>
      <c r="J709" s="15" t="b">
        <v>1</v>
      </c>
      <c r="K709" s="15" t="b">
        <v>1</v>
      </c>
    </row>
    <row r="710" spans="1:11" x14ac:dyDescent="0.3">
      <c r="A710" s="15" t="s">
        <v>416</v>
      </c>
      <c r="B710" s="15">
        <v>6</v>
      </c>
      <c r="C710" s="15" t="s">
        <v>519</v>
      </c>
      <c r="D710" s="15">
        <v>4</v>
      </c>
      <c r="E710" s="15">
        <v>1</v>
      </c>
      <c r="F710" s="15">
        <v>534</v>
      </c>
      <c r="G710" s="16">
        <v>32.53</v>
      </c>
      <c r="H710" s="15">
        <f t="shared" si="11"/>
        <v>17</v>
      </c>
      <c r="I710" s="15">
        <v>4</v>
      </c>
      <c r="J710" s="15" t="b">
        <v>0</v>
      </c>
      <c r="K710" s="15" t="b">
        <v>1</v>
      </c>
    </row>
    <row r="711" spans="1:11" x14ac:dyDescent="0.3">
      <c r="A711" s="15" t="s">
        <v>416</v>
      </c>
      <c r="B711" s="15">
        <v>6</v>
      </c>
      <c r="C711" s="15" t="s">
        <v>519</v>
      </c>
      <c r="D711" s="15">
        <v>4</v>
      </c>
      <c r="E711" s="15">
        <v>2</v>
      </c>
      <c r="F711" s="15">
        <v>545</v>
      </c>
      <c r="G711" s="16">
        <v>32.53</v>
      </c>
      <c r="H711" s="15">
        <f t="shared" si="11"/>
        <v>17</v>
      </c>
      <c r="I711" s="15">
        <v>4</v>
      </c>
      <c r="J711" s="15" t="b">
        <v>0</v>
      </c>
      <c r="K711" s="15" t="b">
        <v>1</v>
      </c>
    </row>
    <row r="712" spans="1:11" x14ac:dyDescent="0.3">
      <c r="A712" s="15" t="s">
        <v>416</v>
      </c>
      <c r="B712" s="15">
        <v>6</v>
      </c>
      <c r="C712" s="15" t="s">
        <v>519</v>
      </c>
      <c r="D712" s="15">
        <v>4</v>
      </c>
      <c r="E712" s="15">
        <v>3</v>
      </c>
      <c r="F712" s="15">
        <v>522</v>
      </c>
      <c r="G712" s="16">
        <v>32.53</v>
      </c>
      <c r="H712" s="15">
        <f t="shared" si="11"/>
        <v>17</v>
      </c>
      <c r="I712" s="15">
        <v>4</v>
      </c>
      <c r="J712" s="15" t="b">
        <v>0</v>
      </c>
      <c r="K712" s="15" t="b">
        <v>1</v>
      </c>
    </row>
    <row r="713" spans="1:11" x14ac:dyDescent="0.3">
      <c r="A713" s="15" t="s">
        <v>416</v>
      </c>
      <c r="B713" s="15">
        <v>6</v>
      </c>
      <c r="C713" s="15" t="s">
        <v>519</v>
      </c>
      <c r="D713" s="15">
        <v>5</v>
      </c>
      <c r="E713" s="15">
        <v>1</v>
      </c>
      <c r="F713" s="15">
        <v>324</v>
      </c>
      <c r="G713" s="16">
        <v>32.53</v>
      </c>
      <c r="H713" s="15">
        <f t="shared" si="11"/>
        <v>10</v>
      </c>
      <c r="I713" s="15">
        <v>3</v>
      </c>
      <c r="J713" s="15" t="b">
        <v>0</v>
      </c>
      <c r="K713" s="15" t="b">
        <v>1</v>
      </c>
    </row>
    <row r="714" spans="1:11" x14ac:dyDescent="0.3">
      <c r="A714" s="15" t="s">
        <v>416</v>
      </c>
      <c r="B714" s="15">
        <v>6</v>
      </c>
      <c r="C714" s="15" t="s">
        <v>519</v>
      </c>
      <c r="D714" s="15">
        <v>5</v>
      </c>
      <c r="E714" s="15">
        <v>2</v>
      </c>
      <c r="F714" s="15">
        <v>268</v>
      </c>
      <c r="G714" s="16">
        <v>32.53</v>
      </c>
      <c r="H714" s="15">
        <f t="shared" si="11"/>
        <v>9</v>
      </c>
      <c r="I714" s="15">
        <v>3</v>
      </c>
      <c r="J714" s="15" t="b">
        <v>0</v>
      </c>
      <c r="K714" s="15" t="b">
        <v>1</v>
      </c>
    </row>
    <row r="715" spans="1:11" x14ac:dyDescent="0.3">
      <c r="A715" s="15" t="s">
        <v>416</v>
      </c>
      <c r="B715" s="15">
        <v>6</v>
      </c>
      <c r="C715" s="15" t="s">
        <v>519</v>
      </c>
      <c r="D715" s="15">
        <v>5</v>
      </c>
      <c r="E715" s="15">
        <v>3</v>
      </c>
      <c r="F715" s="15">
        <v>294</v>
      </c>
      <c r="G715" s="16">
        <v>32.53</v>
      </c>
      <c r="H715" s="15">
        <f t="shared" si="11"/>
        <v>10</v>
      </c>
      <c r="I715" s="15">
        <v>3</v>
      </c>
      <c r="J715" s="15" t="b">
        <v>0</v>
      </c>
      <c r="K715" s="15" t="b">
        <v>1</v>
      </c>
    </row>
    <row r="716" spans="1:11" x14ac:dyDescent="0.3">
      <c r="A716" s="15" t="s">
        <v>416</v>
      </c>
      <c r="B716" s="15">
        <v>6</v>
      </c>
      <c r="C716" s="15" t="s">
        <v>520</v>
      </c>
      <c r="D716" s="15">
        <v>1</v>
      </c>
      <c r="E716" s="15">
        <v>1</v>
      </c>
      <c r="F716" s="15">
        <v>5055</v>
      </c>
      <c r="G716" s="16">
        <v>33.01</v>
      </c>
      <c r="H716" s="15">
        <f t="shared" si="11"/>
        <v>154</v>
      </c>
      <c r="I716" s="15">
        <v>53</v>
      </c>
      <c r="J716" s="15" t="b">
        <v>1</v>
      </c>
      <c r="K716" s="15" t="b">
        <v>1</v>
      </c>
    </row>
    <row r="717" spans="1:11" x14ac:dyDescent="0.3">
      <c r="A717" s="15" t="s">
        <v>416</v>
      </c>
      <c r="B717" s="15">
        <v>6</v>
      </c>
      <c r="C717" s="15" t="s">
        <v>520</v>
      </c>
      <c r="D717" s="15">
        <v>1</v>
      </c>
      <c r="E717" s="15">
        <v>2</v>
      </c>
      <c r="F717" s="15">
        <v>4877</v>
      </c>
      <c r="G717" s="16">
        <v>33.01</v>
      </c>
      <c r="H717" s="15">
        <f t="shared" si="11"/>
        <v>148</v>
      </c>
      <c r="I717" s="15">
        <v>53</v>
      </c>
      <c r="J717" s="15" t="b">
        <v>1</v>
      </c>
      <c r="K717" s="15" t="b">
        <v>1</v>
      </c>
    </row>
    <row r="718" spans="1:11" x14ac:dyDescent="0.3">
      <c r="A718" s="15" t="s">
        <v>416</v>
      </c>
      <c r="B718" s="15">
        <v>6</v>
      </c>
      <c r="C718" s="15" t="s">
        <v>520</v>
      </c>
      <c r="D718" s="15">
        <v>1</v>
      </c>
      <c r="E718" s="15">
        <v>3</v>
      </c>
      <c r="F718" s="15">
        <v>4982</v>
      </c>
      <c r="G718" s="16">
        <v>33.01</v>
      </c>
      <c r="H718" s="15">
        <f t="shared" si="11"/>
        <v>151</v>
      </c>
      <c r="I718" s="15">
        <v>53</v>
      </c>
      <c r="J718" s="15" t="b">
        <v>1</v>
      </c>
      <c r="K718" s="15" t="b">
        <v>1</v>
      </c>
    </row>
    <row r="719" spans="1:11" x14ac:dyDescent="0.3">
      <c r="A719" s="15" t="s">
        <v>416</v>
      </c>
      <c r="B719" s="15">
        <v>6</v>
      </c>
      <c r="C719" s="15" t="s">
        <v>520</v>
      </c>
      <c r="D719" s="15">
        <v>2</v>
      </c>
      <c r="E719" s="15">
        <v>1</v>
      </c>
      <c r="F719" s="15">
        <v>8486</v>
      </c>
      <c r="G719" s="16">
        <v>33.01</v>
      </c>
      <c r="H719" s="15">
        <f t="shared" si="11"/>
        <v>258</v>
      </c>
      <c r="I719" s="15">
        <v>78</v>
      </c>
      <c r="J719" s="15" t="b">
        <v>1</v>
      </c>
      <c r="K719" s="15" t="b">
        <v>1</v>
      </c>
    </row>
    <row r="720" spans="1:11" x14ac:dyDescent="0.3">
      <c r="A720" s="15" t="s">
        <v>416</v>
      </c>
      <c r="B720" s="15">
        <v>6</v>
      </c>
      <c r="C720" s="15" t="s">
        <v>520</v>
      </c>
      <c r="D720" s="15">
        <v>2</v>
      </c>
      <c r="E720" s="15">
        <v>2</v>
      </c>
      <c r="F720" s="15">
        <v>8599</v>
      </c>
      <c r="G720" s="16">
        <v>33.01</v>
      </c>
      <c r="H720" s="15">
        <f t="shared" si="11"/>
        <v>261</v>
      </c>
      <c r="I720" s="15">
        <v>78</v>
      </c>
      <c r="J720" s="15" t="b">
        <v>1</v>
      </c>
      <c r="K720" s="15" t="b">
        <v>1</v>
      </c>
    </row>
    <row r="721" spans="1:11" x14ac:dyDescent="0.3">
      <c r="A721" s="15" t="s">
        <v>416</v>
      </c>
      <c r="B721" s="15">
        <v>6</v>
      </c>
      <c r="C721" s="15" t="s">
        <v>520</v>
      </c>
      <c r="D721" s="15">
        <v>2</v>
      </c>
      <c r="E721" s="15">
        <v>3</v>
      </c>
      <c r="F721" s="15">
        <v>8515</v>
      </c>
      <c r="G721" s="16">
        <v>33.01</v>
      </c>
      <c r="H721" s="15">
        <f t="shared" si="11"/>
        <v>258</v>
      </c>
      <c r="I721" s="15">
        <v>78</v>
      </c>
      <c r="J721" s="15" t="b">
        <v>1</v>
      </c>
      <c r="K721" s="15" t="b">
        <v>1</v>
      </c>
    </row>
    <row r="722" spans="1:11" x14ac:dyDescent="0.3">
      <c r="A722" s="15" t="s">
        <v>416</v>
      </c>
      <c r="B722" s="15">
        <v>6</v>
      </c>
      <c r="C722" s="15" t="s">
        <v>520</v>
      </c>
      <c r="D722" s="15">
        <v>3</v>
      </c>
      <c r="E722" s="15">
        <v>1</v>
      </c>
      <c r="F722" s="15">
        <v>6514</v>
      </c>
      <c r="G722" s="16">
        <v>33.01</v>
      </c>
      <c r="H722" s="15">
        <f t="shared" si="11"/>
        <v>198</v>
      </c>
      <c r="I722" s="15">
        <v>49</v>
      </c>
      <c r="J722" s="15" t="b">
        <v>1</v>
      </c>
      <c r="K722" s="15" t="b">
        <v>1</v>
      </c>
    </row>
    <row r="723" spans="1:11" x14ac:dyDescent="0.3">
      <c r="A723" s="15" t="s">
        <v>416</v>
      </c>
      <c r="B723" s="15">
        <v>6</v>
      </c>
      <c r="C723" s="15" t="s">
        <v>520</v>
      </c>
      <c r="D723" s="15">
        <v>3</v>
      </c>
      <c r="E723" s="15">
        <v>2</v>
      </c>
      <c r="F723" s="15">
        <v>6191</v>
      </c>
      <c r="G723" s="16">
        <v>33.01</v>
      </c>
      <c r="H723" s="15">
        <f t="shared" si="11"/>
        <v>188</v>
      </c>
      <c r="I723" s="15">
        <v>49</v>
      </c>
      <c r="J723" s="15" t="b">
        <v>1</v>
      </c>
      <c r="K723" s="15" t="b">
        <v>1</v>
      </c>
    </row>
    <row r="724" spans="1:11" x14ac:dyDescent="0.3">
      <c r="A724" s="15" t="s">
        <v>416</v>
      </c>
      <c r="B724" s="15">
        <v>6</v>
      </c>
      <c r="C724" s="15" t="s">
        <v>520</v>
      </c>
      <c r="D724" s="15">
        <v>3</v>
      </c>
      <c r="E724" s="15">
        <v>3</v>
      </c>
      <c r="F724" s="15">
        <v>6211</v>
      </c>
      <c r="G724" s="16">
        <v>33.01</v>
      </c>
      <c r="H724" s="15">
        <f t="shared" si="11"/>
        <v>189</v>
      </c>
      <c r="I724" s="15">
        <v>49</v>
      </c>
      <c r="J724" s="15" t="b">
        <v>1</v>
      </c>
      <c r="K724" s="15" t="b">
        <v>1</v>
      </c>
    </row>
    <row r="725" spans="1:11" x14ac:dyDescent="0.3">
      <c r="A725" s="15" t="s">
        <v>416</v>
      </c>
      <c r="B725" s="15">
        <v>6</v>
      </c>
      <c r="C725" s="15" t="s">
        <v>520</v>
      </c>
      <c r="D725" s="15">
        <v>4</v>
      </c>
      <c r="E725" s="15">
        <v>1</v>
      </c>
      <c r="F725" s="15">
        <v>4242</v>
      </c>
      <c r="G725" s="16">
        <v>33.01</v>
      </c>
      <c r="H725" s="15">
        <f t="shared" si="11"/>
        <v>129</v>
      </c>
      <c r="I725" s="15">
        <v>36</v>
      </c>
      <c r="J725" s="15" t="b">
        <v>0</v>
      </c>
      <c r="K725" s="15" t="b">
        <v>1</v>
      </c>
    </row>
    <row r="726" spans="1:11" x14ac:dyDescent="0.3">
      <c r="A726" s="15" t="s">
        <v>416</v>
      </c>
      <c r="B726" s="15">
        <v>6</v>
      </c>
      <c r="C726" s="15" t="s">
        <v>520</v>
      </c>
      <c r="D726" s="15">
        <v>4</v>
      </c>
      <c r="E726" s="15">
        <v>2</v>
      </c>
      <c r="F726" s="15">
        <v>4028</v>
      </c>
      <c r="G726" s="16">
        <v>33.01</v>
      </c>
      <c r="H726" s="15">
        <f t="shared" si="11"/>
        <v>123</v>
      </c>
      <c r="I726" s="15">
        <v>36</v>
      </c>
      <c r="J726" s="15" t="b">
        <v>0</v>
      </c>
      <c r="K726" s="15" t="b">
        <v>1</v>
      </c>
    </row>
    <row r="727" spans="1:11" x14ac:dyDescent="0.3">
      <c r="A727" s="15" t="s">
        <v>416</v>
      </c>
      <c r="B727" s="15">
        <v>6</v>
      </c>
      <c r="C727" s="15" t="s">
        <v>520</v>
      </c>
      <c r="D727" s="15">
        <v>4</v>
      </c>
      <c r="E727" s="15">
        <v>3</v>
      </c>
      <c r="F727" s="15">
        <v>4020</v>
      </c>
      <c r="G727" s="16">
        <v>33.01</v>
      </c>
      <c r="H727" s="15">
        <f t="shared" si="11"/>
        <v>122</v>
      </c>
      <c r="I727" s="15">
        <v>36</v>
      </c>
      <c r="J727" s="15" t="b">
        <v>0</v>
      </c>
      <c r="K727" s="15" t="b">
        <v>1</v>
      </c>
    </row>
    <row r="728" spans="1:11" x14ac:dyDescent="0.3">
      <c r="A728" s="15" t="s">
        <v>416</v>
      </c>
      <c r="B728" s="15">
        <v>6</v>
      </c>
      <c r="C728" s="15" t="s">
        <v>520</v>
      </c>
      <c r="D728" s="15">
        <v>5</v>
      </c>
      <c r="E728" s="15">
        <v>1</v>
      </c>
      <c r="F728" s="15">
        <v>1911</v>
      </c>
      <c r="G728" s="16">
        <v>33.01</v>
      </c>
      <c r="H728" s="15">
        <f t="shared" si="11"/>
        <v>58</v>
      </c>
      <c r="I728" s="15">
        <v>21</v>
      </c>
      <c r="J728" s="15" t="b">
        <v>0</v>
      </c>
      <c r="K728" s="15" t="b">
        <v>1</v>
      </c>
    </row>
    <row r="729" spans="1:11" x14ac:dyDescent="0.3">
      <c r="A729" s="15" t="s">
        <v>416</v>
      </c>
      <c r="B729" s="15">
        <v>6</v>
      </c>
      <c r="C729" s="15" t="s">
        <v>520</v>
      </c>
      <c r="D729" s="15">
        <v>5</v>
      </c>
      <c r="E729" s="15">
        <v>2</v>
      </c>
      <c r="F729" s="15">
        <v>1698</v>
      </c>
      <c r="G729" s="16">
        <v>33.01</v>
      </c>
      <c r="H729" s="15">
        <f t="shared" si="11"/>
        <v>52</v>
      </c>
      <c r="I729" s="15">
        <v>21</v>
      </c>
      <c r="J729" s="15" t="b">
        <v>0</v>
      </c>
      <c r="K729" s="15" t="b">
        <v>1</v>
      </c>
    </row>
    <row r="730" spans="1:11" x14ac:dyDescent="0.3">
      <c r="A730" s="15" t="s">
        <v>416</v>
      </c>
      <c r="B730" s="15">
        <v>6</v>
      </c>
      <c r="C730" s="15" t="s">
        <v>520</v>
      </c>
      <c r="D730" s="15">
        <v>5</v>
      </c>
      <c r="E730" s="15">
        <v>3</v>
      </c>
      <c r="F730" s="15">
        <v>1716</v>
      </c>
      <c r="G730" s="16">
        <v>33.01</v>
      </c>
      <c r="H730" s="15">
        <f t="shared" si="11"/>
        <v>52</v>
      </c>
      <c r="I730" s="15">
        <v>21</v>
      </c>
      <c r="J730" s="15" t="b">
        <v>0</v>
      </c>
      <c r="K730" s="15" t="b">
        <v>1</v>
      </c>
    </row>
    <row r="731" spans="1:11" x14ac:dyDescent="0.3">
      <c r="A731" s="15" t="s">
        <v>416</v>
      </c>
      <c r="B731" s="15">
        <v>6</v>
      </c>
      <c r="C731" s="15" t="s">
        <v>521</v>
      </c>
      <c r="D731" s="15">
        <v>1</v>
      </c>
      <c r="E731" s="15">
        <v>1</v>
      </c>
      <c r="F731" s="15">
        <v>8003</v>
      </c>
      <c r="G731" s="16">
        <v>32.04</v>
      </c>
      <c r="H731" s="15">
        <f t="shared" si="11"/>
        <v>250</v>
      </c>
      <c r="I731" s="15">
        <v>118</v>
      </c>
      <c r="J731" s="15" t="b">
        <v>1</v>
      </c>
      <c r="K731" s="15" t="b">
        <v>1</v>
      </c>
    </row>
    <row r="732" spans="1:11" x14ac:dyDescent="0.3">
      <c r="A732" s="15" t="s">
        <v>416</v>
      </c>
      <c r="B732" s="15">
        <v>6</v>
      </c>
      <c r="C732" s="15" t="s">
        <v>521</v>
      </c>
      <c r="D732" s="15">
        <v>1</v>
      </c>
      <c r="E732" s="15">
        <v>2</v>
      </c>
      <c r="F732" s="15">
        <v>7488</v>
      </c>
      <c r="G732" s="16">
        <v>32.04</v>
      </c>
      <c r="H732" s="15">
        <f t="shared" si="11"/>
        <v>234</v>
      </c>
      <c r="I732" s="15">
        <v>118</v>
      </c>
      <c r="J732" s="15" t="b">
        <v>1</v>
      </c>
      <c r="K732" s="15" t="b">
        <v>1</v>
      </c>
    </row>
    <row r="733" spans="1:11" x14ac:dyDescent="0.3">
      <c r="A733" s="15" t="s">
        <v>416</v>
      </c>
      <c r="B733" s="15">
        <v>6</v>
      </c>
      <c r="C733" s="15" t="s">
        <v>521</v>
      </c>
      <c r="D733" s="15">
        <v>1</v>
      </c>
      <c r="E733" s="15">
        <v>3</v>
      </c>
      <c r="F733" s="15">
        <v>7533</v>
      </c>
      <c r="G733" s="16">
        <v>32.04</v>
      </c>
      <c r="H733" s="15">
        <f t="shared" si="11"/>
        <v>236</v>
      </c>
      <c r="I733" s="15">
        <v>118</v>
      </c>
      <c r="J733" s="15" t="b">
        <v>1</v>
      </c>
      <c r="K733" s="15" t="b">
        <v>1</v>
      </c>
    </row>
    <row r="734" spans="1:11" x14ac:dyDescent="0.3">
      <c r="A734" s="15" t="s">
        <v>416</v>
      </c>
      <c r="B734" s="15">
        <v>6</v>
      </c>
      <c r="C734" s="15" t="s">
        <v>521</v>
      </c>
      <c r="D734" s="15">
        <v>2</v>
      </c>
      <c r="E734" s="15">
        <v>1</v>
      </c>
      <c r="F734" s="15">
        <v>4024</v>
      </c>
      <c r="G734" s="16">
        <v>32.04</v>
      </c>
      <c r="H734" s="15">
        <f t="shared" si="11"/>
        <v>126</v>
      </c>
      <c r="I734" s="15">
        <v>39</v>
      </c>
      <c r="J734" s="15" t="b">
        <v>1</v>
      </c>
      <c r="K734" s="15" t="b">
        <v>1</v>
      </c>
    </row>
    <row r="735" spans="1:11" x14ac:dyDescent="0.3">
      <c r="A735" s="15" t="s">
        <v>416</v>
      </c>
      <c r="B735" s="15">
        <v>6</v>
      </c>
      <c r="C735" s="15" t="s">
        <v>521</v>
      </c>
      <c r="D735" s="15">
        <v>2</v>
      </c>
      <c r="E735" s="15">
        <v>2</v>
      </c>
      <c r="F735" s="15">
        <v>3491</v>
      </c>
      <c r="G735" s="16">
        <v>32.04</v>
      </c>
      <c r="H735" s="15">
        <f t="shared" si="11"/>
        <v>109</v>
      </c>
      <c r="I735" s="15">
        <v>39</v>
      </c>
      <c r="J735" s="15" t="b">
        <v>1</v>
      </c>
      <c r="K735" s="15" t="b">
        <v>1</v>
      </c>
    </row>
    <row r="736" spans="1:11" x14ac:dyDescent="0.3">
      <c r="A736" s="15" t="s">
        <v>416</v>
      </c>
      <c r="B736" s="15">
        <v>6</v>
      </c>
      <c r="C736" s="15" t="s">
        <v>521</v>
      </c>
      <c r="D736" s="15">
        <v>2</v>
      </c>
      <c r="E736" s="15">
        <v>3</v>
      </c>
      <c r="F736" s="15">
        <v>3599</v>
      </c>
      <c r="G736" s="16">
        <v>32.04</v>
      </c>
      <c r="H736" s="15">
        <f t="shared" si="11"/>
        <v>113</v>
      </c>
      <c r="I736" s="15">
        <v>39</v>
      </c>
      <c r="J736" s="15" t="b">
        <v>1</v>
      </c>
      <c r="K736" s="15" t="b">
        <v>1</v>
      </c>
    </row>
    <row r="737" spans="1:11" x14ac:dyDescent="0.3">
      <c r="A737" s="15" t="s">
        <v>416</v>
      </c>
      <c r="B737" s="15">
        <v>6</v>
      </c>
      <c r="C737" s="15" t="s">
        <v>521</v>
      </c>
      <c r="D737" s="15">
        <v>3</v>
      </c>
      <c r="E737" s="15">
        <v>1</v>
      </c>
      <c r="F737" s="15">
        <v>1220</v>
      </c>
      <c r="G737" s="16">
        <v>32.04</v>
      </c>
      <c r="H737" s="15">
        <f t="shared" si="11"/>
        <v>39</v>
      </c>
      <c r="I737" s="15">
        <v>11</v>
      </c>
      <c r="J737" s="15" t="b">
        <v>1</v>
      </c>
      <c r="K737" s="15" t="b">
        <v>1</v>
      </c>
    </row>
    <row r="738" spans="1:11" x14ac:dyDescent="0.3">
      <c r="A738" s="15" t="s">
        <v>416</v>
      </c>
      <c r="B738" s="15">
        <v>6</v>
      </c>
      <c r="C738" s="15" t="s">
        <v>521</v>
      </c>
      <c r="D738" s="15">
        <v>3</v>
      </c>
      <c r="E738" s="15">
        <v>2</v>
      </c>
      <c r="F738" s="15">
        <v>1236</v>
      </c>
      <c r="G738" s="16">
        <v>32.04</v>
      </c>
      <c r="H738" s="15">
        <f t="shared" si="11"/>
        <v>39</v>
      </c>
      <c r="I738" s="15">
        <v>11</v>
      </c>
      <c r="J738" s="15" t="b">
        <v>1</v>
      </c>
      <c r="K738" s="15" t="b">
        <v>1</v>
      </c>
    </row>
    <row r="739" spans="1:11" x14ac:dyDescent="0.3">
      <c r="A739" s="15" t="s">
        <v>416</v>
      </c>
      <c r="B739" s="15">
        <v>6</v>
      </c>
      <c r="C739" s="15" t="s">
        <v>521</v>
      </c>
      <c r="D739" s="15">
        <v>3</v>
      </c>
      <c r="E739" s="15">
        <v>3</v>
      </c>
      <c r="F739" s="15">
        <v>1160</v>
      </c>
      <c r="G739" s="16">
        <v>32.04</v>
      </c>
      <c r="H739" s="15">
        <f t="shared" si="11"/>
        <v>37</v>
      </c>
      <c r="I739" s="15">
        <v>11</v>
      </c>
      <c r="J739" s="15" t="b">
        <v>1</v>
      </c>
      <c r="K739" s="15" t="b">
        <v>1</v>
      </c>
    </row>
    <row r="740" spans="1:11" x14ac:dyDescent="0.3">
      <c r="A740" s="15" t="s">
        <v>416</v>
      </c>
      <c r="B740" s="15">
        <v>6</v>
      </c>
      <c r="C740" s="15" t="s">
        <v>521</v>
      </c>
      <c r="D740" s="15">
        <v>4</v>
      </c>
      <c r="E740" s="15">
        <v>1</v>
      </c>
      <c r="F740" s="15">
        <v>6657</v>
      </c>
      <c r="G740" s="16">
        <v>32.04</v>
      </c>
      <c r="H740" s="15">
        <f t="shared" si="11"/>
        <v>208</v>
      </c>
      <c r="I740" s="15">
        <v>45</v>
      </c>
      <c r="J740" s="15" t="b">
        <v>0</v>
      </c>
      <c r="K740" s="15" t="b">
        <v>1</v>
      </c>
    </row>
    <row r="741" spans="1:11" x14ac:dyDescent="0.3">
      <c r="A741" s="15" t="s">
        <v>416</v>
      </c>
      <c r="B741" s="15">
        <v>6</v>
      </c>
      <c r="C741" s="15" t="s">
        <v>521</v>
      </c>
      <c r="D741" s="15">
        <v>4</v>
      </c>
      <c r="E741" s="15">
        <v>2</v>
      </c>
      <c r="F741" s="15">
        <v>6143</v>
      </c>
      <c r="G741" s="16">
        <v>32.04</v>
      </c>
      <c r="H741" s="15">
        <f t="shared" si="11"/>
        <v>192</v>
      </c>
      <c r="I741" s="15">
        <v>45</v>
      </c>
      <c r="J741" s="15" t="b">
        <v>0</v>
      </c>
      <c r="K741" s="15" t="b">
        <v>1</v>
      </c>
    </row>
    <row r="742" spans="1:11" x14ac:dyDescent="0.3">
      <c r="A742" s="15" t="s">
        <v>416</v>
      </c>
      <c r="B742" s="15">
        <v>6</v>
      </c>
      <c r="C742" s="15" t="s">
        <v>521</v>
      </c>
      <c r="D742" s="15">
        <v>4</v>
      </c>
      <c r="E742" s="15">
        <v>3</v>
      </c>
      <c r="F742" s="15">
        <v>5720</v>
      </c>
      <c r="G742" s="16">
        <v>32.04</v>
      </c>
      <c r="H742" s="15">
        <f t="shared" si="11"/>
        <v>179</v>
      </c>
      <c r="I742" s="15">
        <v>45</v>
      </c>
      <c r="J742" s="15" t="b">
        <v>0</v>
      </c>
      <c r="K742" s="15" t="b">
        <v>1</v>
      </c>
    </row>
    <row r="743" spans="1:11" x14ac:dyDescent="0.3">
      <c r="A743" s="15" t="s">
        <v>416</v>
      </c>
      <c r="B743" s="15">
        <v>6</v>
      </c>
      <c r="C743" s="15" t="s">
        <v>521</v>
      </c>
      <c r="D743" s="15">
        <v>5</v>
      </c>
      <c r="E743" s="15">
        <v>1</v>
      </c>
      <c r="F743" s="15">
        <v>3244</v>
      </c>
      <c r="G743" s="16">
        <v>32.04</v>
      </c>
      <c r="H743" s="15">
        <f t="shared" si="11"/>
        <v>102</v>
      </c>
      <c r="I743" s="15">
        <v>35</v>
      </c>
      <c r="J743" s="15" t="b">
        <v>0</v>
      </c>
      <c r="K743" s="15" t="b">
        <v>1</v>
      </c>
    </row>
    <row r="744" spans="1:11" x14ac:dyDescent="0.3">
      <c r="A744" s="15" t="s">
        <v>416</v>
      </c>
      <c r="B744" s="15">
        <v>6</v>
      </c>
      <c r="C744" s="15" t="s">
        <v>521</v>
      </c>
      <c r="D744" s="15">
        <v>5</v>
      </c>
      <c r="E744" s="15">
        <v>2</v>
      </c>
      <c r="F744" s="15">
        <v>2910</v>
      </c>
      <c r="G744" s="16">
        <v>32.04</v>
      </c>
      <c r="H744" s="15">
        <f t="shared" si="11"/>
        <v>91</v>
      </c>
      <c r="I744" s="15">
        <v>35</v>
      </c>
      <c r="J744" s="15" t="b">
        <v>0</v>
      </c>
      <c r="K744" s="15" t="b">
        <v>1</v>
      </c>
    </row>
    <row r="745" spans="1:11" x14ac:dyDescent="0.3">
      <c r="A745" s="15" t="s">
        <v>416</v>
      </c>
      <c r="B745" s="15">
        <v>6</v>
      </c>
      <c r="C745" s="15" t="s">
        <v>521</v>
      </c>
      <c r="D745" s="15">
        <v>5</v>
      </c>
      <c r="E745" s="15">
        <v>3</v>
      </c>
      <c r="F745" s="15">
        <v>2883</v>
      </c>
      <c r="G745" s="16">
        <v>32.04</v>
      </c>
      <c r="H745" s="15">
        <f t="shared" si="11"/>
        <v>90</v>
      </c>
      <c r="I745" s="15">
        <v>35</v>
      </c>
      <c r="J745" s="15" t="b">
        <v>0</v>
      </c>
      <c r="K745" s="15" t="b">
        <v>1</v>
      </c>
    </row>
    <row r="746" spans="1:11" x14ac:dyDescent="0.3">
      <c r="A746" s="15" t="s">
        <v>416</v>
      </c>
      <c r="B746" s="15">
        <v>6</v>
      </c>
      <c r="C746" s="15" t="s">
        <v>522</v>
      </c>
      <c r="D746" s="15">
        <v>1</v>
      </c>
      <c r="E746" s="15">
        <v>1</v>
      </c>
      <c r="F746" s="15">
        <v>2319</v>
      </c>
      <c r="G746" s="16">
        <v>31.15</v>
      </c>
      <c r="H746" s="15">
        <f t="shared" si="11"/>
        <v>75</v>
      </c>
      <c r="I746" s="15">
        <v>34</v>
      </c>
      <c r="J746" s="15" t="b">
        <v>1</v>
      </c>
      <c r="K746" s="15" t="b">
        <v>1</v>
      </c>
    </row>
    <row r="747" spans="1:11" x14ac:dyDescent="0.3">
      <c r="A747" s="15" t="s">
        <v>416</v>
      </c>
      <c r="B747" s="15">
        <v>6</v>
      </c>
      <c r="C747" s="15" t="s">
        <v>522</v>
      </c>
      <c r="D747" s="15">
        <v>1</v>
      </c>
      <c r="E747" s="15">
        <v>2</v>
      </c>
      <c r="F747" s="15">
        <v>2579</v>
      </c>
      <c r="G747" s="16">
        <v>31.15</v>
      </c>
      <c r="H747" s="15">
        <f t="shared" si="11"/>
        <v>83</v>
      </c>
      <c r="I747" s="15">
        <v>34</v>
      </c>
      <c r="J747" s="15" t="b">
        <v>1</v>
      </c>
      <c r="K747" s="15" t="b">
        <v>1</v>
      </c>
    </row>
    <row r="748" spans="1:11" x14ac:dyDescent="0.3">
      <c r="A748" s="15" t="s">
        <v>416</v>
      </c>
      <c r="B748" s="15">
        <v>6</v>
      </c>
      <c r="C748" s="15" t="s">
        <v>522</v>
      </c>
      <c r="D748" s="15">
        <v>1</v>
      </c>
      <c r="E748" s="15">
        <v>3</v>
      </c>
      <c r="F748" s="15">
        <v>2512</v>
      </c>
      <c r="G748" s="16">
        <v>31.15</v>
      </c>
      <c r="H748" s="15">
        <f t="shared" si="11"/>
        <v>81</v>
      </c>
      <c r="I748" s="15">
        <v>34</v>
      </c>
      <c r="J748" s="15" t="b">
        <v>1</v>
      </c>
      <c r="K748" s="15" t="b">
        <v>1</v>
      </c>
    </row>
    <row r="749" spans="1:11" x14ac:dyDescent="0.3">
      <c r="A749" s="15" t="s">
        <v>416</v>
      </c>
      <c r="B749" s="15">
        <v>6</v>
      </c>
      <c r="C749" s="15" t="s">
        <v>522</v>
      </c>
      <c r="D749" s="15">
        <v>2</v>
      </c>
      <c r="E749" s="15">
        <v>1</v>
      </c>
      <c r="F749" s="15">
        <v>8081</v>
      </c>
      <c r="G749" s="16">
        <v>31.15</v>
      </c>
      <c r="H749" s="15">
        <f t="shared" si="11"/>
        <v>260</v>
      </c>
      <c r="I749" s="15">
        <v>86</v>
      </c>
      <c r="J749" s="15" t="b">
        <v>1</v>
      </c>
      <c r="K749" s="15" t="b">
        <v>1</v>
      </c>
    </row>
    <row r="750" spans="1:11" x14ac:dyDescent="0.3">
      <c r="A750" s="15" t="s">
        <v>416</v>
      </c>
      <c r="B750" s="15">
        <v>6</v>
      </c>
      <c r="C750" s="15" t="s">
        <v>522</v>
      </c>
      <c r="D750" s="15">
        <v>2</v>
      </c>
      <c r="E750" s="15">
        <v>2</v>
      </c>
      <c r="F750" s="15">
        <v>8003</v>
      </c>
      <c r="G750" s="16">
        <v>31.15</v>
      </c>
      <c r="H750" s="15">
        <f t="shared" si="11"/>
        <v>257</v>
      </c>
      <c r="I750" s="15">
        <v>86</v>
      </c>
      <c r="J750" s="15" t="b">
        <v>1</v>
      </c>
      <c r="K750" s="15" t="b">
        <v>1</v>
      </c>
    </row>
    <row r="751" spans="1:11" x14ac:dyDescent="0.3">
      <c r="A751" s="15" t="s">
        <v>416</v>
      </c>
      <c r="B751" s="15">
        <v>6</v>
      </c>
      <c r="C751" s="15" t="s">
        <v>522</v>
      </c>
      <c r="D751" s="15">
        <v>2</v>
      </c>
      <c r="E751" s="15">
        <v>3</v>
      </c>
      <c r="F751" s="15">
        <v>7801</v>
      </c>
      <c r="G751" s="16">
        <v>31.15</v>
      </c>
      <c r="H751" s="15">
        <f t="shared" si="11"/>
        <v>251</v>
      </c>
      <c r="I751" s="15">
        <v>86</v>
      </c>
      <c r="J751" s="15" t="b">
        <v>1</v>
      </c>
      <c r="K751" s="15" t="b">
        <v>1</v>
      </c>
    </row>
    <row r="752" spans="1:11" x14ac:dyDescent="0.3">
      <c r="A752" s="15" t="s">
        <v>416</v>
      </c>
      <c r="B752" s="15">
        <v>6</v>
      </c>
      <c r="C752" s="15" t="s">
        <v>522</v>
      </c>
      <c r="D752" s="15">
        <v>3</v>
      </c>
      <c r="E752" s="15">
        <v>1</v>
      </c>
      <c r="F752" s="15">
        <v>6551</v>
      </c>
      <c r="G752" s="16">
        <v>31.15</v>
      </c>
      <c r="H752" s="15">
        <f t="shared" si="11"/>
        <v>211</v>
      </c>
      <c r="I752" s="15">
        <v>80</v>
      </c>
      <c r="J752" s="15" t="b">
        <v>1</v>
      </c>
      <c r="K752" s="15" t="b">
        <v>1</v>
      </c>
    </row>
    <row r="753" spans="1:11" x14ac:dyDescent="0.3">
      <c r="A753" s="15" t="s">
        <v>416</v>
      </c>
      <c r="B753" s="15">
        <v>6</v>
      </c>
      <c r="C753" s="15" t="s">
        <v>522</v>
      </c>
      <c r="D753" s="15">
        <v>3</v>
      </c>
      <c r="E753" s="15">
        <v>2</v>
      </c>
      <c r="F753" s="15">
        <v>6182</v>
      </c>
      <c r="G753" s="16">
        <v>31.15</v>
      </c>
      <c r="H753" s="15">
        <f t="shared" si="11"/>
        <v>199</v>
      </c>
      <c r="I753" s="15">
        <v>80</v>
      </c>
      <c r="J753" s="15" t="b">
        <v>1</v>
      </c>
      <c r="K753" s="15" t="b">
        <v>1</v>
      </c>
    </row>
    <row r="754" spans="1:11" x14ac:dyDescent="0.3">
      <c r="A754" s="15" t="s">
        <v>416</v>
      </c>
      <c r="B754" s="15">
        <v>6</v>
      </c>
      <c r="C754" s="15" t="s">
        <v>522</v>
      </c>
      <c r="D754" s="15">
        <v>3</v>
      </c>
      <c r="E754" s="15">
        <v>3</v>
      </c>
      <c r="F754" s="15">
        <v>6187</v>
      </c>
      <c r="G754" s="16">
        <v>31.15</v>
      </c>
      <c r="H754" s="15">
        <f t="shared" si="11"/>
        <v>199</v>
      </c>
      <c r="I754" s="15">
        <v>80</v>
      </c>
      <c r="J754" s="15" t="b">
        <v>1</v>
      </c>
      <c r="K754" s="15" t="b">
        <v>1</v>
      </c>
    </row>
    <row r="755" spans="1:11" x14ac:dyDescent="0.3">
      <c r="A755" s="15" t="s">
        <v>416</v>
      </c>
      <c r="B755" s="15">
        <v>6</v>
      </c>
      <c r="C755" s="15" t="s">
        <v>522</v>
      </c>
      <c r="D755" s="15">
        <v>4</v>
      </c>
      <c r="E755" s="15">
        <v>1</v>
      </c>
      <c r="F755" s="15">
        <v>4112</v>
      </c>
      <c r="G755" s="16">
        <v>31.15</v>
      </c>
      <c r="H755" s="15">
        <f t="shared" si="11"/>
        <v>133</v>
      </c>
      <c r="I755" s="15">
        <v>41</v>
      </c>
      <c r="J755" s="15" t="b">
        <v>0</v>
      </c>
      <c r="K755" s="15" t="b">
        <v>1</v>
      </c>
    </row>
    <row r="756" spans="1:11" x14ac:dyDescent="0.3">
      <c r="A756" s="15" t="s">
        <v>416</v>
      </c>
      <c r="B756" s="15">
        <v>6</v>
      </c>
      <c r="C756" s="15" t="s">
        <v>522</v>
      </c>
      <c r="D756" s="15">
        <v>4</v>
      </c>
      <c r="E756" s="15">
        <v>2</v>
      </c>
      <c r="F756" s="15">
        <v>4010</v>
      </c>
      <c r="G756" s="16">
        <v>31.15</v>
      </c>
      <c r="H756" s="15">
        <f t="shared" si="11"/>
        <v>129</v>
      </c>
      <c r="I756" s="15">
        <v>41</v>
      </c>
      <c r="J756" s="15" t="b">
        <v>0</v>
      </c>
      <c r="K756" s="15" t="b">
        <v>1</v>
      </c>
    </row>
    <row r="757" spans="1:11" x14ac:dyDescent="0.3">
      <c r="A757" s="15" t="s">
        <v>416</v>
      </c>
      <c r="B757" s="15">
        <v>6</v>
      </c>
      <c r="C757" s="15" t="s">
        <v>522</v>
      </c>
      <c r="D757" s="15">
        <v>4</v>
      </c>
      <c r="E757" s="15">
        <v>3</v>
      </c>
      <c r="F757" s="15">
        <v>3893</v>
      </c>
      <c r="G757" s="16">
        <v>31.15</v>
      </c>
      <c r="H757" s="15">
        <f t="shared" si="11"/>
        <v>125</v>
      </c>
      <c r="I757" s="15">
        <v>41</v>
      </c>
      <c r="J757" s="15" t="b">
        <v>0</v>
      </c>
      <c r="K757" s="15" t="b">
        <v>1</v>
      </c>
    </row>
    <row r="758" spans="1:11" x14ac:dyDescent="0.3">
      <c r="A758" s="15" t="s">
        <v>416</v>
      </c>
      <c r="B758" s="15">
        <v>6</v>
      </c>
      <c r="C758" s="15" t="s">
        <v>522</v>
      </c>
      <c r="D758" s="15">
        <v>5</v>
      </c>
      <c r="E758" s="15">
        <v>1</v>
      </c>
      <c r="F758" s="15">
        <v>4974</v>
      </c>
      <c r="G758" s="16">
        <v>31.15</v>
      </c>
      <c r="H758" s="15">
        <f t="shared" si="11"/>
        <v>160</v>
      </c>
      <c r="I758" s="15">
        <v>46</v>
      </c>
      <c r="J758" s="15" t="b">
        <v>0</v>
      </c>
      <c r="K758" s="15" t="b">
        <v>1</v>
      </c>
    </row>
    <row r="759" spans="1:11" x14ac:dyDescent="0.3">
      <c r="A759" s="15" t="s">
        <v>416</v>
      </c>
      <c r="B759" s="15">
        <v>6</v>
      </c>
      <c r="C759" s="15" t="s">
        <v>522</v>
      </c>
      <c r="D759" s="15">
        <v>5</v>
      </c>
      <c r="E759" s="15">
        <v>2</v>
      </c>
      <c r="F759" s="15">
        <v>4953</v>
      </c>
      <c r="G759" s="16">
        <v>31.15</v>
      </c>
      <c r="H759" s="15">
        <f t="shared" si="11"/>
        <v>160</v>
      </c>
      <c r="I759" s="15">
        <v>46</v>
      </c>
      <c r="J759" s="15" t="b">
        <v>0</v>
      </c>
      <c r="K759" s="15" t="b">
        <v>1</v>
      </c>
    </row>
    <row r="760" spans="1:11" x14ac:dyDescent="0.3">
      <c r="A760" s="15" t="s">
        <v>416</v>
      </c>
      <c r="B760" s="15">
        <v>6</v>
      </c>
      <c r="C760" s="15" t="s">
        <v>522</v>
      </c>
      <c r="D760" s="15">
        <v>5</v>
      </c>
      <c r="E760" s="15">
        <v>3</v>
      </c>
      <c r="F760" s="15">
        <v>4607</v>
      </c>
      <c r="G760" s="16">
        <v>31.15</v>
      </c>
      <c r="H760" s="15">
        <f t="shared" si="11"/>
        <v>148</v>
      </c>
      <c r="I760" s="15">
        <v>46</v>
      </c>
      <c r="J760" s="15" t="b">
        <v>0</v>
      </c>
      <c r="K760" s="15" t="b">
        <v>1</v>
      </c>
    </row>
    <row r="761" spans="1:11" x14ac:dyDescent="0.3">
      <c r="A761" s="15" t="s">
        <v>419</v>
      </c>
      <c r="B761" s="15">
        <v>7</v>
      </c>
      <c r="C761" s="15" t="s">
        <v>523</v>
      </c>
      <c r="D761" s="15">
        <v>1</v>
      </c>
      <c r="E761" s="15">
        <v>1</v>
      </c>
      <c r="F761" s="15">
        <v>5821</v>
      </c>
      <c r="G761" s="16">
        <v>34.04</v>
      </c>
      <c r="H761" s="15">
        <f t="shared" si="11"/>
        <v>172</v>
      </c>
      <c r="I761" s="15">
        <v>76</v>
      </c>
      <c r="J761" s="15" t="b">
        <v>1</v>
      </c>
      <c r="K761" s="15" t="b">
        <v>1</v>
      </c>
    </row>
    <row r="762" spans="1:11" x14ac:dyDescent="0.3">
      <c r="A762" s="15" t="s">
        <v>419</v>
      </c>
      <c r="B762" s="15">
        <v>7</v>
      </c>
      <c r="C762" s="15" t="s">
        <v>523</v>
      </c>
      <c r="D762" s="15">
        <v>1</v>
      </c>
      <c r="E762" s="15">
        <v>2</v>
      </c>
      <c r="F762" s="15">
        <v>6065</v>
      </c>
      <c r="G762" s="16">
        <v>34.04</v>
      </c>
      <c r="H762" s="15">
        <f t="shared" si="11"/>
        <v>179</v>
      </c>
      <c r="I762" s="15">
        <v>76</v>
      </c>
      <c r="J762" s="15" t="b">
        <v>1</v>
      </c>
      <c r="K762" s="15" t="b">
        <v>1</v>
      </c>
    </row>
    <row r="763" spans="1:11" x14ac:dyDescent="0.3">
      <c r="A763" s="15" t="s">
        <v>419</v>
      </c>
      <c r="B763" s="15">
        <v>7</v>
      </c>
      <c r="C763" s="15" t="s">
        <v>523</v>
      </c>
      <c r="D763" s="15">
        <v>1</v>
      </c>
      <c r="E763" s="15">
        <v>3</v>
      </c>
      <c r="F763" s="15">
        <v>5597</v>
      </c>
      <c r="G763" s="16">
        <v>34.04</v>
      </c>
      <c r="H763" s="15">
        <f t="shared" si="11"/>
        <v>165</v>
      </c>
      <c r="I763" s="15">
        <v>76</v>
      </c>
      <c r="J763" s="15" t="b">
        <v>1</v>
      </c>
      <c r="K763" s="15" t="b">
        <v>1</v>
      </c>
    </row>
    <row r="764" spans="1:11" x14ac:dyDescent="0.3">
      <c r="A764" s="15" t="s">
        <v>419</v>
      </c>
      <c r="B764" s="15">
        <v>7</v>
      </c>
      <c r="C764" s="15" t="s">
        <v>523</v>
      </c>
      <c r="D764" s="15">
        <v>2</v>
      </c>
      <c r="E764" s="15">
        <v>1</v>
      </c>
      <c r="F764" s="15">
        <v>2928</v>
      </c>
      <c r="G764" s="16">
        <v>34.04</v>
      </c>
      <c r="H764" s="15">
        <f t="shared" si="11"/>
        <v>87</v>
      </c>
      <c r="I764" s="15">
        <v>40</v>
      </c>
      <c r="J764" s="15" t="b">
        <v>1</v>
      </c>
      <c r="K764" s="15" t="b">
        <v>1</v>
      </c>
    </row>
    <row r="765" spans="1:11" x14ac:dyDescent="0.3">
      <c r="A765" s="15" t="s">
        <v>419</v>
      </c>
      <c r="B765" s="15">
        <v>7</v>
      </c>
      <c r="C765" s="15" t="s">
        <v>523</v>
      </c>
      <c r="D765" s="15">
        <v>2</v>
      </c>
      <c r="E765" s="15">
        <v>2</v>
      </c>
      <c r="F765" s="15">
        <v>2985</v>
      </c>
      <c r="G765" s="16">
        <v>34.04</v>
      </c>
      <c r="H765" s="15">
        <f t="shared" si="11"/>
        <v>88</v>
      </c>
      <c r="I765" s="15">
        <v>40</v>
      </c>
      <c r="J765" s="15" t="b">
        <v>1</v>
      </c>
      <c r="K765" s="15" t="b">
        <v>1</v>
      </c>
    </row>
    <row r="766" spans="1:11" x14ac:dyDescent="0.3">
      <c r="A766" s="15" t="s">
        <v>419</v>
      </c>
      <c r="B766" s="15">
        <v>7</v>
      </c>
      <c r="C766" s="15" t="s">
        <v>523</v>
      </c>
      <c r="D766" s="15">
        <v>2</v>
      </c>
      <c r="E766" s="15">
        <v>3</v>
      </c>
      <c r="F766" s="15">
        <v>3050</v>
      </c>
      <c r="G766" s="16">
        <v>34.04</v>
      </c>
      <c r="H766" s="15">
        <f t="shared" si="11"/>
        <v>90</v>
      </c>
      <c r="I766" s="15">
        <v>40</v>
      </c>
      <c r="J766" s="15" t="b">
        <v>1</v>
      </c>
      <c r="K766" s="15" t="b">
        <v>1</v>
      </c>
    </row>
    <row r="767" spans="1:11" x14ac:dyDescent="0.3">
      <c r="A767" s="15" t="s">
        <v>419</v>
      </c>
      <c r="B767" s="15">
        <v>7</v>
      </c>
      <c r="C767" s="15" t="s">
        <v>523</v>
      </c>
      <c r="D767" s="15">
        <v>3</v>
      </c>
      <c r="E767" s="15">
        <v>1</v>
      </c>
      <c r="F767" s="15">
        <v>14644</v>
      </c>
      <c r="G767" s="16">
        <v>34.04</v>
      </c>
      <c r="H767" s="15">
        <f t="shared" si="11"/>
        <v>431</v>
      </c>
      <c r="I767" s="15">
        <v>161</v>
      </c>
      <c r="J767" s="15" t="b">
        <v>1</v>
      </c>
      <c r="K767" s="15" t="b">
        <v>1</v>
      </c>
    </row>
    <row r="768" spans="1:11" x14ac:dyDescent="0.3">
      <c r="A768" s="15" t="s">
        <v>419</v>
      </c>
      <c r="B768" s="15">
        <v>7</v>
      </c>
      <c r="C768" s="15" t="s">
        <v>523</v>
      </c>
      <c r="D768" s="15">
        <v>3</v>
      </c>
      <c r="E768" s="15">
        <v>2</v>
      </c>
      <c r="F768" s="15">
        <v>14942</v>
      </c>
      <c r="G768" s="16">
        <v>34.04</v>
      </c>
      <c r="H768" s="15">
        <f t="shared" si="11"/>
        <v>439</v>
      </c>
      <c r="I768" s="15">
        <v>161</v>
      </c>
      <c r="J768" s="15" t="b">
        <v>1</v>
      </c>
      <c r="K768" s="15" t="b">
        <v>1</v>
      </c>
    </row>
    <row r="769" spans="1:11" x14ac:dyDescent="0.3">
      <c r="A769" s="15" t="s">
        <v>419</v>
      </c>
      <c r="B769" s="15">
        <v>7</v>
      </c>
      <c r="C769" s="15" t="s">
        <v>523</v>
      </c>
      <c r="D769" s="15">
        <v>3</v>
      </c>
      <c r="E769" s="15">
        <v>3</v>
      </c>
      <c r="F769" s="15">
        <v>14995</v>
      </c>
      <c r="G769" s="16">
        <v>34.04</v>
      </c>
      <c r="H769" s="15">
        <f t="shared" si="11"/>
        <v>441</v>
      </c>
      <c r="I769" s="15">
        <v>161</v>
      </c>
      <c r="J769" s="15" t="b">
        <v>1</v>
      </c>
      <c r="K769" s="15" t="b">
        <v>1</v>
      </c>
    </row>
    <row r="770" spans="1:11" x14ac:dyDescent="0.3">
      <c r="A770" s="15" t="s">
        <v>419</v>
      </c>
      <c r="B770" s="15">
        <v>7</v>
      </c>
      <c r="C770" s="15" t="s">
        <v>523</v>
      </c>
      <c r="D770" s="15">
        <v>4</v>
      </c>
      <c r="E770" s="15">
        <v>1</v>
      </c>
      <c r="F770" s="15">
        <v>2285</v>
      </c>
      <c r="G770" s="16">
        <v>34.04</v>
      </c>
      <c r="H770" s="15">
        <f t="shared" si="11"/>
        <v>68</v>
      </c>
      <c r="I770" s="15">
        <v>19</v>
      </c>
      <c r="J770" s="15" t="b">
        <v>0</v>
      </c>
      <c r="K770" s="15" t="b">
        <v>1</v>
      </c>
    </row>
    <row r="771" spans="1:11" x14ac:dyDescent="0.3">
      <c r="A771" s="15" t="s">
        <v>419</v>
      </c>
      <c r="B771" s="15">
        <v>7</v>
      </c>
      <c r="C771" s="15" t="s">
        <v>523</v>
      </c>
      <c r="D771" s="15">
        <v>4</v>
      </c>
      <c r="E771" s="15">
        <v>2</v>
      </c>
      <c r="F771" s="15">
        <v>2305</v>
      </c>
      <c r="G771" s="16">
        <v>34.04</v>
      </c>
      <c r="H771" s="15">
        <f t="shared" ref="H771:H834" si="12">ROUNDUP(F771/G771,0)</f>
        <v>68</v>
      </c>
      <c r="I771" s="15">
        <v>19</v>
      </c>
      <c r="J771" s="15" t="b">
        <v>0</v>
      </c>
      <c r="K771" s="15" t="b">
        <v>1</v>
      </c>
    </row>
    <row r="772" spans="1:11" x14ac:dyDescent="0.3">
      <c r="A772" s="15" t="s">
        <v>419</v>
      </c>
      <c r="B772" s="15">
        <v>7</v>
      </c>
      <c r="C772" s="15" t="s">
        <v>523</v>
      </c>
      <c r="D772" s="15">
        <v>4</v>
      </c>
      <c r="E772" s="15">
        <v>3</v>
      </c>
      <c r="F772" s="15">
        <v>2318</v>
      </c>
      <c r="G772" s="16">
        <v>34.04</v>
      </c>
      <c r="H772" s="15">
        <f t="shared" si="12"/>
        <v>69</v>
      </c>
      <c r="I772" s="15">
        <v>19</v>
      </c>
      <c r="J772" s="15" t="b">
        <v>0</v>
      </c>
      <c r="K772" s="15" t="b">
        <v>1</v>
      </c>
    </row>
    <row r="773" spans="1:11" x14ac:dyDescent="0.3">
      <c r="A773" s="15" t="s">
        <v>419</v>
      </c>
      <c r="B773" s="15">
        <v>7</v>
      </c>
      <c r="C773" s="15" t="s">
        <v>523</v>
      </c>
      <c r="D773" s="15">
        <v>5</v>
      </c>
      <c r="E773" s="15">
        <v>1</v>
      </c>
      <c r="F773" s="15">
        <v>331</v>
      </c>
      <c r="G773" s="16">
        <v>34.04</v>
      </c>
      <c r="H773" s="15">
        <f t="shared" si="12"/>
        <v>10</v>
      </c>
      <c r="I773" s="15">
        <v>2</v>
      </c>
      <c r="J773" s="15" t="b">
        <v>0</v>
      </c>
      <c r="K773" s="15" t="b">
        <v>1</v>
      </c>
    </row>
    <row r="774" spans="1:11" x14ac:dyDescent="0.3">
      <c r="A774" s="15" t="s">
        <v>419</v>
      </c>
      <c r="B774" s="15">
        <v>7</v>
      </c>
      <c r="C774" s="15" t="s">
        <v>523</v>
      </c>
      <c r="D774" s="15">
        <v>5</v>
      </c>
      <c r="E774" s="15">
        <v>2</v>
      </c>
      <c r="F774" s="15">
        <v>371</v>
      </c>
      <c r="G774" s="16">
        <v>34.04</v>
      </c>
      <c r="H774" s="15">
        <f t="shared" si="12"/>
        <v>11</v>
      </c>
      <c r="I774" s="15">
        <v>2</v>
      </c>
      <c r="J774" s="15" t="b">
        <v>0</v>
      </c>
      <c r="K774" s="15" t="b">
        <v>1</v>
      </c>
    </row>
    <row r="775" spans="1:11" x14ac:dyDescent="0.3">
      <c r="A775" s="15" t="s">
        <v>419</v>
      </c>
      <c r="B775" s="15">
        <v>7</v>
      </c>
      <c r="C775" s="15" t="s">
        <v>523</v>
      </c>
      <c r="D775" s="15">
        <v>5</v>
      </c>
      <c r="E775" s="15">
        <v>3</v>
      </c>
      <c r="F775" s="15">
        <v>369</v>
      </c>
      <c r="G775" s="16">
        <v>34.04</v>
      </c>
      <c r="H775" s="15">
        <f t="shared" si="12"/>
        <v>11</v>
      </c>
      <c r="I775" s="15">
        <v>2</v>
      </c>
      <c r="J775" s="15" t="b">
        <v>0</v>
      </c>
      <c r="K775" s="15" t="b">
        <v>1</v>
      </c>
    </row>
    <row r="776" spans="1:11" x14ac:dyDescent="0.3">
      <c r="A776" s="15" t="s">
        <v>419</v>
      </c>
      <c r="B776" s="15">
        <v>7</v>
      </c>
      <c r="C776" s="15" t="s">
        <v>524</v>
      </c>
      <c r="D776" s="15">
        <v>1</v>
      </c>
      <c r="E776" s="15">
        <v>1</v>
      </c>
      <c r="F776" s="15">
        <v>1795</v>
      </c>
      <c r="G776" s="16">
        <v>32.74</v>
      </c>
      <c r="H776" s="15">
        <f t="shared" si="12"/>
        <v>55</v>
      </c>
      <c r="I776" s="15">
        <v>22</v>
      </c>
      <c r="J776" s="15" t="b">
        <v>1</v>
      </c>
      <c r="K776" s="15" t="b">
        <v>1</v>
      </c>
    </row>
    <row r="777" spans="1:11" x14ac:dyDescent="0.3">
      <c r="A777" s="15" t="s">
        <v>419</v>
      </c>
      <c r="B777" s="15">
        <v>7</v>
      </c>
      <c r="C777" s="15" t="s">
        <v>524</v>
      </c>
      <c r="D777" s="15">
        <v>1</v>
      </c>
      <c r="E777" s="15">
        <v>2</v>
      </c>
      <c r="F777" s="15">
        <v>1811</v>
      </c>
      <c r="G777" s="16">
        <v>32.74</v>
      </c>
      <c r="H777" s="15">
        <f t="shared" si="12"/>
        <v>56</v>
      </c>
      <c r="I777" s="15">
        <v>22</v>
      </c>
      <c r="J777" s="15" t="b">
        <v>1</v>
      </c>
      <c r="K777" s="15" t="b">
        <v>1</v>
      </c>
    </row>
    <row r="778" spans="1:11" x14ac:dyDescent="0.3">
      <c r="A778" s="15" t="s">
        <v>419</v>
      </c>
      <c r="B778" s="15">
        <v>7</v>
      </c>
      <c r="C778" s="15" t="s">
        <v>524</v>
      </c>
      <c r="D778" s="15">
        <v>1</v>
      </c>
      <c r="E778" s="15">
        <v>3</v>
      </c>
      <c r="F778" s="15">
        <v>1785</v>
      </c>
      <c r="G778" s="16">
        <v>32.74</v>
      </c>
      <c r="H778" s="15">
        <f t="shared" si="12"/>
        <v>55</v>
      </c>
      <c r="I778" s="15">
        <v>22</v>
      </c>
      <c r="J778" s="15" t="b">
        <v>1</v>
      </c>
      <c r="K778" s="15" t="b">
        <v>1</v>
      </c>
    </row>
    <row r="779" spans="1:11" x14ac:dyDescent="0.3">
      <c r="A779" s="15" t="s">
        <v>419</v>
      </c>
      <c r="B779" s="15">
        <v>7</v>
      </c>
      <c r="C779" s="15" t="s">
        <v>524</v>
      </c>
      <c r="D779" s="15">
        <v>2</v>
      </c>
      <c r="E779" s="15">
        <v>1</v>
      </c>
      <c r="F779" s="15">
        <v>2077</v>
      </c>
      <c r="G779" s="16">
        <v>32.74</v>
      </c>
      <c r="H779" s="15">
        <f t="shared" si="12"/>
        <v>64</v>
      </c>
      <c r="I779" s="15">
        <v>14</v>
      </c>
      <c r="J779" s="15" t="b">
        <v>1</v>
      </c>
      <c r="K779" s="15" t="b">
        <v>1</v>
      </c>
    </row>
    <row r="780" spans="1:11" x14ac:dyDescent="0.3">
      <c r="A780" s="15" t="s">
        <v>419</v>
      </c>
      <c r="B780" s="15">
        <v>7</v>
      </c>
      <c r="C780" s="15" t="s">
        <v>524</v>
      </c>
      <c r="D780" s="15">
        <v>2</v>
      </c>
      <c r="E780" s="15">
        <v>2</v>
      </c>
      <c r="F780" s="15">
        <v>2007</v>
      </c>
      <c r="G780" s="16">
        <v>32.74</v>
      </c>
      <c r="H780" s="15">
        <f t="shared" si="12"/>
        <v>62</v>
      </c>
      <c r="I780" s="15">
        <v>14</v>
      </c>
      <c r="J780" s="15" t="b">
        <v>1</v>
      </c>
      <c r="K780" s="15" t="b">
        <v>1</v>
      </c>
    </row>
    <row r="781" spans="1:11" x14ac:dyDescent="0.3">
      <c r="A781" s="15" t="s">
        <v>419</v>
      </c>
      <c r="B781" s="15">
        <v>7</v>
      </c>
      <c r="C781" s="15" t="s">
        <v>524</v>
      </c>
      <c r="D781" s="15">
        <v>2</v>
      </c>
      <c r="E781" s="15">
        <v>3</v>
      </c>
      <c r="F781" s="15">
        <v>2051</v>
      </c>
      <c r="G781" s="16">
        <v>32.74</v>
      </c>
      <c r="H781" s="15">
        <f t="shared" si="12"/>
        <v>63</v>
      </c>
      <c r="I781" s="15">
        <v>14</v>
      </c>
      <c r="J781" s="15" t="b">
        <v>1</v>
      </c>
      <c r="K781" s="15" t="b">
        <v>1</v>
      </c>
    </row>
    <row r="782" spans="1:11" x14ac:dyDescent="0.3">
      <c r="A782" s="15" t="s">
        <v>419</v>
      </c>
      <c r="B782" s="15">
        <v>7</v>
      </c>
      <c r="C782" s="15" t="s">
        <v>524</v>
      </c>
      <c r="D782" s="15">
        <v>3</v>
      </c>
      <c r="E782" s="15">
        <v>1</v>
      </c>
      <c r="F782" s="15">
        <v>7224</v>
      </c>
      <c r="G782" s="16">
        <v>32.74</v>
      </c>
      <c r="H782" s="15">
        <f t="shared" si="12"/>
        <v>221</v>
      </c>
      <c r="I782" s="15">
        <v>55</v>
      </c>
      <c r="J782" s="15" t="b">
        <v>1</v>
      </c>
      <c r="K782" s="15" t="b">
        <v>1</v>
      </c>
    </row>
    <row r="783" spans="1:11" x14ac:dyDescent="0.3">
      <c r="A783" s="15" t="s">
        <v>419</v>
      </c>
      <c r="B783" s="15">
        <v>7</v>
      </c>
      <c r="C783" s="15" t="s">
        <v>524</v>
      </c>
      <c r="D783" s="15">
        <v>3</v>
      </c>
      <c r="E783" s="15">
        <v>2</v>
      </c>
      <c r="F783" s="15">
        <v>7154</v>
      </c>
      <c r="G783" s="16">
        <v>32.74</v>
      </c>
      <c r="H783" s="15">
        <f t="shared" si="12"/>
        <v>219</v>
      </c>
      <c r="I783" s="15">
        <v>55</v>
      </c>
      <c r="J783" s="15" t="b">
        <v>1</v>
      </c>
      <c r="K783" s="15" t="b">
        <v>1</v>
      </c>
    </row>
    <row r="784" spans="1:11" x14ac:dyDescent="0.3">
      <c r="A784" s="15" t="s">
        <v>419</v>
      </c>
      <c r="B784" s="15">
        <v>7</v>
      </c>
      <c r="C784" s="15" t="s">
        <v>524</v>
      </c>
      <c r="D784" s="15">
        <v>3</v>
      </c>
      <c r="E784" s="15">
        <v>3</v>
      </c>
      <c r="F784" s="15">
        <v>7279</v>
      </c>
      <c r="G784" s="16">
        <v>32.74</v>
      </c>
      <c r="H784" s="15">
        <f t="shared" si="12"/>
        <v>223</v>
      </c>
      <c r="I784" s="15">
        <v>55</v>
      </c>
      <c r="J784" s="15" t="b">
        <v>1</v>
      </c>
      <c r="K784" s="15" t="b">
        <v>1</v>
      </c>
    </row>
    <row r="785" spans="1:11" x14ac:dyDescent="0.3">
      <c r="A785" s="15" t="s">
        <v>419</v>
      </c>
      <c r="B785" s="15">
        <v>7</v>
      </c>
      <c r="C785" s="15" t="s">
        <v>524</v>
      </c>
      <c r="D785" s="15">
        <v>4</v>
      </c>
      <c r="E785" s="15">
        <v>1</v>
      </c>
      <c r="F785" s="15">
        <v>2146</v>
      </c>
      <c r="G785" s="16">
        <v>32.74</v>
      </c>
      <c r="H785" s="15">
        <f t="shared" si="12"/>
        <v>66</v>
      </c>
      <c r="I785" s="15">
        <v>21</v>
      </c>
      <c r="J785" s="15" t="b">
        <v>0</v>
      </c>
      <c r="K785" s="15" t="b">
        <v>1</v>
      </c>
    </row>
    <row r="786" spans="1:11" x14ac:dyDescent="0.3">
      <c r="A786" s="15" t="s">
        <v>419</v>
      </c>
      <c r="B786" s="15">
        <v>7</v>
      </c>
      <c r="C786" s="15" t="s">
        <v>524</v>
      </c>
      <c r="D786" s="15">
        <v>4</v>
      </c>
      <c r="E786" s="15">
        <v>2</v>
      </c>
      <c r="F786" s="15">
        <v>2055</v>
      </c>
      <c r="G786" s="16">
        <v>32.74</v>
      </c>
      <c r="H786" s="15">
        <f t="shared" si="12"/>
        <v>63</v>
      </c>
      <c r="I786" s="15">
        <v>21</v>
      </c>
      <c r="J786" s="15" t="b">
        <v>0</v>
      </c>
      <c r="K786" s="15" t="b">
        <v>1</v>
      </c>
    </row>
    <row r="787" spans="1:11" x14ac:dyDescent="0.3">
      <c r="A787" s="15" t="s">
        <v>419</v>
      </c>
      <c r="B787" s="15">
        <v>7</v>
      </c>
      <c r="C787" s="15" t="s">
        <v>524</v>
      </c>
      <c r="D787" s="15">
        <v>4</v>
      </c>
      <c r="E787" s="15">
        <v>3</v>
      </c>
      <c r="F787" s="15">
        <v>1995</v>
      </c>
      <c r="G787" s="16">
        <v>32.74</v>
      </c>
      <c r="H787" s="15">
        <f t="shared" si="12"/>
        <v>61</v>
      </c>
      <c r="I787" s="15">
        <v>21</v>
      </c>
      <c r="J787" s="15" t="b">
        <v>0</v>
      </c>
      <c r="K787" s="15" t="b">
        <v>1</v>
      </c>
    </row>
    <row r="788" spans="1:11" x14ac:dyDescent="0.3">
      <c r="A788" s="15" t="s">
        <v>419</v>
      </c>
      <c r="B788" s="15">
        <v>7</v>
      </c>
      <c r="C788" s="15" t="s">
        <v>524</v>
      </c>
      <c r="D788" s="15">
        <v>5</v>
      </c>
      <c r="E788" s="15">
        <v>1</v>
      </c>
      <c r="F788" s="15">
        <v>285</v>
      </c>
      <c r="G788" s="16">
        <v>32.74</v>
      </c>
      <c r="H788" s="15">
        <f t="shared" si="12"/>
        <v>9</v>
      </c>
      <c r="I788" s="15">
        <v>3</v>
      </c>
      <c r="J788" s="15" t="b">
        <v>0</v>
      </c>
      <c r="K788" s="15" t="b">
        <v>1</v>
      </c>
    </row>
    <row r="789" spans="1:11" x14ac:dyDescent="0.3">
      <c r="A789" s="15" t="s">
        <v>419</v>
      </c>
      <c r="B789" s="15">
        <v>7</v>
      </c>
      <c r="C789" s="15" t="s">
        <v>524</v>
      </c>
      <c r="D789" s="15">
        <v>5</v>
      </c>
      <c r="E789" s="15">
        <v>2</v>
      </c>
      <c r="F789" s="15">
        <v>260</v>
      </c>
      <c r="G789" s="16">
        <v>32.74</v>
      </c>
      <c r="H789" s="15">
        <f t="shared" si="12"/>
        <v>8</v>
      </c>
      <c r="I789" s="15">
        <v>3</v>
      </c>
      <c r="J789" s="15" t="b">
        <v>0</v>
      </c>
      <c r="K789" s="15" t="b">
        <v>1</v>
      </c>
    </row>
    <row r="790" spans="1:11" x14ac:dyDescent="0.3">
      <c r="A790" s="15" t="s">
        <v>419</v>
      </c>
      <c r="B790" s="15">
        <v>7</v>
      </c>
      <c r="C790" s="15" t="s">
        <v>524</v>
      </c>
      <c r="D790" s="15">
        <v>5</v>
      </c>
      <c r="E790" s="15">
        <v>3</v>
      </c>
      <c r="F790" s="15">
        <v>249</v>
      </c>
      <c r="G790" s="16">
        <v>32.74</v>
      </c>
      <c r="H790" s="15">
        <f t="shared" si="12"/>
        <v>8</v>
      </c>
      <c r="I790" s="15">
        <v>3</v>
      </c>
      <c r="J790" s="15" t="b">
        <v>0</v>
      </c>
      <c r="K790" s="15" t="b">
        <v>1</v>
      </c>
    </row>
    <row r="791" spans="1:11" x14ac:dyDescent="0.3">
      <c r="A791" s="15" t="s">
        <v>419</v>
      </c>
      <c r="B791" s="15">
        <v>7</v>
      </c>
      <c r="C791" s="15" t="s">
        <v>525</v>
      </c>
      <c r="D791" s="15">
        <v>1</v>
      </c>
      <c r="E791" s="15">
        <v>1</v>
      </c>
      <c r="F791" s="15">
        <v>4044</v>
      </c>
      <c r="G791" s="16">
        <v>33.08</v>
      </c>
      <c r="H791" s="15">
        <f t="shared" si="12"/>
        <v>123</v>
      </c>
      <c r="I791" s="15">
        <v>58</v>
      </c>
      <c r="J791" s="15" t="b">
        <v>1</v>
      </c>
      <c r="K791" s="15" t="b">
        <v>1</v>
      </c>
    </row>
    <row r="792" spans="1:11" x14ac:dyDescent="0.3">
      <c r="A792" s="15" t="s">
        <v>419</v>
      </c>
      <c r="B792" s="15">
        <v>7</v>
      </c>
      <c r="C792" s="15" t="s">
        <v>525</v>
      </c>
      <c r="D792" s="15">
        <v>1</v>
      </c>
      <c r="E792" s="15">
        <v>2</v>
      </c>
      <c r="F792" s="15">
        <v>4036</v>
      </c>
      <c r="G792" s="16">
        <v>33.08</v>
      </c>
      <c r="H792" s="15">
        <f t="shared" si="12"/>
        <v>123</v>
      </c>
      <c r="I792" s="15">
        <v>58</v>
      </c>
      <c r="J792" s="15" t="b">
        <v>1</v>
      </c>
      <c r="K792" s="15" t="b">
        <v>1</v>
      </c>
    </row>
    <row r="793" spans="1:11" x14ac:dyDescent="0.3">
      <c r="A793" s="15" t="s">
        <v>419</v>
      </c>
      <c r="B793" s="15">
        <v>7</v>
      </c>
      <c r="C793" s="15" t="s">
        <v>525</v>
      </c>
      <c r="D793" s="15">
        <v>1</v>
      </c>
      <c r="E793" s="15">
        <v>3</v>
      </c>
      <c r="F793" s="15">
        <v>4086</v>
      </c>
      <c r="G793" s="16">
        <v>33.08</v>
      </c>
      <c r="H793" s="15">
        <f t="shared" si="12"/>
        <v>124</v>
      </c>
      <c r="I793" s="15">
        <v>58</v>
      </c>
      <c r="J793" s="15" t="b">
        <v>1</v>
      </c>
      <c r="K793" s="15" t="b">
        <v>1</v>
      </c>
    </row>
    <row r="794" spans="1:11" x14ac:dyDescent="0.3">
      <c r="A794" s="15" t="s">
        <v>419</v>
      </c>
      <c r="B794" s="15">
        <v>7</v>
      </c>
      <c r="C794" s="15" t="s">
        <v>525</v>
      </c>
      <c r="D794" s="15">
        <v>2</v>
      </c>
      <c r="E794" s="15">
        <v>1</v>
      </c>
      <c r="F794" s="15">
        <v>3413</v>
      </c>
      <c r="G794" s="16">
        <v>33.08</v>
      </c>
      <c r="H794" s="15">
        <f t="shared" si="12"/>
        <v>104</v>
      </c>
      <c r="I794" s="15">
        <v>39</v>
      </c>
      <c r="J794" s="15" t="b">
        <v>1</v>
      </c>
      <c r="K794" s="15" t="b">
        <v>1</v>
      </c>
    </row>
    <row r="795" spans="1:11" x14ac:dyDescent="0.3">
      <c r="A795" s="15" t="s">
        <v>419</v>
      </c>
      <c r="B795" s="15">
        <v>7</v>
      </c>
      <c r="C795" s="15" t="s">
        <v>525</v>
      </c>
      <c r="D795" s="15">
        <v>2</v>
      </c>
      <c r="E795" s="15">
        <v>2</v>
      </c>
      <c r="F795" s="15">
        <v>3395</v>
      </c>
      <c r="G795" s="16">
        <v>33.08</v>
      </c>
      <c r="H795" s="15">
        <f t="shared" si="12"/>
        <v>103</v>
      </c>
      <c r="I795" s="15">
        <v>39</v>
      </c>
      <c r="J795" s="15" t="b">
        <v>1</v>
      </c>
      <c r="K795" s="15" t="b">
        <v>1</v>
      </c>
    </row>
    <row r="796" spans="1:11" x14ac:dyDescent="0.3">
      <c r="A796" s="15" t="s">
        <v>419</v>
      </c>
      <c r="B796" s="15">
        <v>7</v>
      </c>
      <c r="C796" s="15" t="s">
        <v>525</v>
      </c>
      <c r="D796" s="15">
        <v>2</v>
      </c>
      <c r="E796" s="15">
        <v>3</v>
      </c>
      <c r="F796" s="15">
        <v>3210</v>
      </c>
      <c r="G796" s="16">
        <v>33.08</v>
      </c>
      <c r="H796" s="15">
        <f t="shared" si="12"/>
        <v>98</v>
      </c>
      <c r="I796" s="15">
        <v>39</v>
      </c>
      <c r="J796" s="15" t="b">
        <v>1</v>
      </c>
      <c r="K796" s="15" t="b">
        <v>1</v>
      </c>
    </row>
    <row r="797" spans="1:11" x14ac:dyDescent="0.3">
      <c r="A797" s="15" t="s">
        <v>419</v>
      </c>
      <c r="B797" s="15">
        <v>7</v>
      </c>
      <c r="C797" s="15" t="s">
        <v>525</v>
      </c>
      <c r="D797" s="15">
        <v>3</v>
      </c>
      <c r="E797" s="15">
        <v>1</v>
      </c>
      <c r="F797" s="15">
        <v>3343</v>
      </c>
      <c r="G797" s="16">
        <v>33.08</v>
      </c>
      <c r="H797" s="15">
        <f t="shared" si="12"/>
        <v>102</v>
      </c>
      <c r="I797" s="15">
        <v>34</v>
      </c>
      <c r="J797" s="15" t="b">
        <v>1</v>
      </c>
      <c r="K797" s="15" t="b">
        <v>1</v>
      </c>
    </row>
    <row r="798" spans="1:11" x14ac:dyDescent="0.3">
      <c r="A798" s="15" t="s">
        <v>419</v>
      </c>
      <c r="B798" s="15">
        <v>7</v>
      </c>
      <c r="C798" s="15" t="s">
        <v>525</v>
      </c>
      <c r="D798" s="15">
        <v>3</v>
      </c>
      <c r="E798" s="15">
        <v>2</v>
      </c>
      <c r="F798" s="15">
        <v>3423</v>
      </c>
      <c r="G798" s="16">
        <v>33.08</v>
      </c>
      <c r="H798" s="15">
        <f t="shared" si="12"/>
        <v>104</v>
      </c>
      <c r="I798" s="15">
        <v>34</v>
      </c>
      <c r="J798" s="15" t="b">
        <v>1</v>
      </c>
      <c r="K798" s="15" t="b">
        <v>1</v>
      </c>
    </row>
    <row r="799" spans="1:11" x14ac:dyDescent="0.3">
      <c r="A799" s="15" t="s">
        <v>419</v>
      </c>
      <c r="B799" s="15">
        <v>7</v>
      </c>
      <c r="C799" s="15" t="s">
        <v>525</v>
      </c>
      <c r="D799" s="15">
        <v>3</v>
      </c>
      <c r="E799" s="15">
        <v>3</v>
      </c>
      <c r="F799" s="15">
        <v>3221</v>
      </c>
      <c r="G799" s="16">
        <v>33.08</v>
      </c>
      <c r="H799" s="15">
        <f t="shared" si="12"/>
        <v>98</v>
      </c>
      <c r="I799" s="15">
        <v>34</v>
      </c>
      <c r="J799" s="15" t="b">
        <v>1</v>
      </c>
      <c r="K799" s="15" t="b">
        <v>1</v>
      </c>
    </row>
    <row r="800" spans="1:11" x14ac:dyDescent="0.3">
      <c r="A800" s="15" t="s">
        <v>419</v>
      </c>
      <c r="B800" s="15">
        <v>7</v>
      </c>
      <c r="C800" s="15" t="s">
        <v>525</v>
      </c>
      <c r="D800" s="15">
        <v>4</v>
      </c>
      <c r="E800" s="15">
        <v>1</v>
      </c>
      <c r="F800" s="15">
        <v>269</v>
      </c>
      <c r="G800" s="16">
        <v>33.08</v>
      </c>
      <c r="H800" s="15">
        <f t="shared" si="12"/>
        <v>9</v>
      </c>
      <c r="I800" s="15">
        <v>4</v>
      </c>
      <c r="J800" s="15" t="b">
        <v>0</v>
      </c>
      <c r="K800" s="15" t="b">
        <v>1</v>
      </c>
    </row>
    <row r="801" spans="1:11" x14ac:dyDescent="0.3">
      <c r="A801" s="15" t="s">
        <v>419</v>
      </c>
      <c r="B801" s="15">
        <v>7</v>
      </c>
      <c r="C801" s="15" t="s">
        <v>525</v>
      </c>
      <c r="D801" s="15">
        <v>4</v>
      </c>
      <c r="E801" s="15">
        <v>2</v>
      </c>
      <c r="F801" s="15">
        <v>232</v>
      </c>
      <c r="G801" s="16">
        <v>33.08</v>
      </c>
      <c r="H801" s="15">
        <f t="shared" si="12"/>
        <v>8</v>
      </c>
      <c r="I801" s="15">
        <v>4</v>
      </c>
      <c r="J801" s="15" t="b">
        <v>0</v>
      </c>
      <c r="K801" s="15" t="b">
        <v>1</v>
      </c>
    </row>
    <row r="802" spans="1:11" x14ac:dyDescent="0.3">
      <c r="A802" s="15" t="s">
        <v>419</v>
      </c>
      <c r="B802" s="15">
        <v>7</v>
      </c>
      <c r="C802" s="15" t="s">
        <v>525</v>
      </c>
      <c r="D802" s="15">
        <v>4</v>
      </c>
      <c r="E802" s="15">
        <v>3</v>
      </c>
      <c r="F802" s="15">
        <v>288</v>
      </c>
      <c r="G802" s="16">
        <v>33.08</v>
      </c>
      <c r="H802" s="15">
        <f t="shared" si="12"/>
        <v>9</v>
      </c>
      <c r="I802" s="15">
        <v>4</v>
      </c>
      <c r="J802" s="15" t="b">
        <v>0</v>
      </c>
      <c r="K802" s="15" t="b">
        <v>1</v>
      </c>
    </row>
    <row r="803" spans="1:11" x14ac:dyDescent="0.3">
      <c r="A803" s="15" t="s">
        <v>419</v>
      </c>
      <c r="B803" s="15">
        <v>7</v>
      </c>
      <c r="C803" s="15" t="s">
        <v>526</v>
      </c>
      <c r="D803" s="15">
        <v>1</v>
      </c>
      <c r="E803" s="15">
        <v>1</v>
      </c>
      <c r="F803" s="15">
        <v>8531</v>
      </c>
      <c r="G803" s="16">
        <v>33.479999999999997</v>
      </c>
      <c r="H803" s="15">
        <f t="shared" si="12"/>
        <v>255</v>
      </c>
      <c r="I803" s="15">
        <v>105</v>
      </c>
      <c r="J803" s="15" t="b">
        <v>1</v>
      </c>
      <c r="K803" s="15" t="b">
        <v>1</v>
      </c>
    </row>
    <row r="804" spans="1:11" x14ac:dyDescent="0.3">
      <c r="A804" s="15" t="s">
        <v>419</v>
      </c>
      <c r="B804" s="15">
        <v>7</v>
      </c>
      <c r="C804" s="15" t="s">
        <v>526</v>
      </c>
      <c r="D804" s="15">
        <v>1</v>
      </c>
      <c r="E804" s="15">
        <v>2</v>
      </c>
      <c r="F804" s="15">
        <v>8260</v>
      </c>
      <c r="G804" s="16">
        <v>33.479999999999997</v>
      </c>
      <c r="H804" s="15">
        <f t="shared" si="12"/>
        <v>247</v>
      </c>
      <c r="I804" s="15">
        <v>105</v>
      </c>
      <c r="J804" s="15" t="b">
        <v>1</v>
      </c>
      <c r="K804" s="15" t="b">
        <v>1</v>
      </c>
    </row>
    <row r="805" spans="1:11" x14ac:dyDescent="0.3">
      <c r="A805" s="15" t="s">
        <v>419</v>
      </c>
      <c r="B805" s="15">
        <v>7</v>
      </c>
      <c r="C805" s="15" t="s">
        <v>526</v>
      </c>
      <c r="D805" s="15">
        <v>1</v>
      </c>
      <c r="E805" s="15">
        <v>3</v>
      </c>
      <c r="F805" s="15">
        <v>8277</v>
      </c>
      <c r="G805" s="16">
        <v>33.479999999999997</v>
      </c>
      <c r="H805" s="15">
        <f t="shared" si="12"/>
        <v>248</v>
      </c>
      <c r="I805" s="15">
        <v>105</v>
      </c>
      <c r="J805" s="15" t="b">
        <v>1</v>
      </c>
      <c r="K805" s="15" t="b">
        <v>1</v>
      </c>
    </row>
    <row r="806" spans="1:11" x14ac:dyDescent="0.3">
      <c r="A806" s="15" t="s">
        <v>419</v>
      </c>
      <c r="B806" s="15">
        <v>7</v>
      </c>
      <c r="C806" s="15" t="s">
        <v>526</v>
      </c>
      <c r="D806" s="15">
        <v>2</v>
      </c>
      <c r="E806" s="15">
        <v>1</v>
      </c>
      <c r="F806" s="15">
        <v>5582</v>
      </c>
      <c r="G806" s="16">
        <v>33.479999999999997</v>
      </c>
      <c r="H806" s="15">
        <f t="shared" si="12"/>
        <v>167</v>
      </c>
      <c r="I806" s="15">
        <v>85</v>
      </c>
      <c r="J806" s="15" t="b">
        <v>1</v>
      </c>
      <c r="K806" s="15" t="b">
        <v>1</v>
      </c>
    </row>
    <row r="807" spans="1:11" x14ac:dyDescent="0.3">
      <c r="A807" s="15" t="s">
        <v>419</v>
      </c>
      <c r="B807" s="15">
        <v>7</v>
      </c>
      <c r="C807" s="15" t="s">
        <v>526</v>
      </c>
      <c r="D807" s="15">
        <v>2</v>
      </c>
      <c r="E807" s="15">
        <v>2</v>
      </c>
      <c r="F807" s="15">
        <v>5708</v>
      </c>
      <c r="G807" s="16">
        <v>33.479999999999997</v>
      </c>
      <c r="H807" s="15">
        <f t="shared" si="12"/>
        <v>171</v>
      </c>
      <c r="I807" s="15">
        <v>85</v>
      </c>
      <c r="J807" s="15" t="b">
        <v>1</v>
      </c>
      <c r="K807" s="15" t="b">
        <v>1</v>
      </c>
    </row>
    <row r="808" spans="1:11" x14ac:dyDescent="0.3">
      <c r="A808" s="15" t="s">
        <v>419</v>
      </c>
      <c r="B808" s="15">
        <v>7</v>
      </c>
      <c r="C808" s="15" t="s">
        <v>526</v>
      </c>
      <c r="D808" s="15">
        <v>2</v>
      </c>
      <c r="E808" s="15">
        <v>3</v>
      </c>
      <c r="F808" s="15">
        <v>5323</v>
      </c>
      <c r="G808" s="16">
        <v>33.479999999999997</v>
      </c>
      <c r="H808" s="15">
        <f t="shared" si="12"/>
        <v>159</v>
      </c>
      <c r="I808" s="15">
        <v>85</v>
      </c>
      <c r="J808" s="15" t="b">
        <v>1</v>
      </c>
      <c r="K808" s="15" t="b">
        <v>1</v>
      </c>
    </row>
    <row r="809" spans="1:11" x14ac:dyDescent="0.3">
      <c r="A809" s="15" t="s">
        <v>419</v>
      </c>
      <c r="B809" s="15">
        <v>7</v>
      </c>
      <c r="C809" s="15" t="s">
        <v>526</v>
      </c>
      <c r="D809" s="15">
        <v>3</v>
      </c>
      <c r="E809" s="15">
        <v>1</v>
      </c>
      <c r="F809" s="15">
        <v>3074</v>
      </c>
      <c r="G809" s="16">
        <v>33.479999999999997</v>
      </c>
      <c r="H809" s="15">
        <f t="shared" si="12"/>
        <v>92</v>
      </c>
      <c r="I809" s="15">
        <v>39</v>
      </c>
      <c r="J809" s="15" t="b">
        <v>1</v>
      </c>
      <c r="K809" s="15" t="b">
        <v>1</v>
      </c>
    </row>
    <row r="810" spans="1:11" x14ac:dyDescent="0.3">
      <c r="A810" s="15" t="s">
        <v>419</v>
      </c>
      <c r="B810" s="15">
        <v>7</v>
      </c>
      <c r="C810" s="15" t="s">
        <v>526</v>
      </c>
      <c r="D810" s="15">
        <v>3</v>
      </c>
      <c r="E810" s="15">
        <v>2</v>
      </c>
      <c r="F810" s="15">
        <v>2930</v>
      </c>
      <c r="G810" s="16">
        <v>33.479999999999997</v>
      </c>
      <c r="H810" s="15">
        <f t="shared" si="12"/>
        <v>88</v>
      </c>
      <c r="I810" s="15">
        <v>39</v>
      </c>
      <c r="J810" s="15" t="b">
        <v>1</v>
      </c>
      <c r="K810" s="15" t="b">
        <v>1</v>
      </c>
    </row>
    <row r="811" spans="1:11" x14ac:dyDescent="0.3">
      <c r="A811" s="15" t="s">
        <v>419</v>
      </c>
      <c r="B811" s="15">
        <v>7</v>
      </c>
      <c r="C811" s="15" t="s">
        <v>526</v>
      </c>
      <c r="D811" s="15">
        <v>3</v>
      </c>
      <c r="E811" s="15">
        <v>3</v>
      </c>
      <c r="F811" s="15">
        <v>3034</v>
      </c>
      <c r="G811" s="16">
        <v>33.479999999999997</v>
      </c>
      <c r="H811" s="15">
        <f t="shared" si="12"/>
        <v>91</v>
      </c>
      <c r="I811" s="15">
        <v>39</v>
      </c>
      <c r="J811" s="15" t="b">
        <v>1</v>
      </c>
      <c r="K811" s="15" t="b">
        <v>1</v>
      </c>
    </row>
    <row r="812" spans="1:11" x14ac:dyDescent="0.3">
      <c r="A812" s="15" t="s">
        <v>419</v>
      </c>
      <c r="B812" s="15">
        <v>7</v>
      </c>
      <c r="C812" s="15" t="s">
        <v>526</v>
      </c>
      <c r="D812" s="15">
        <v>4</v>
      </c>
      <c r="E812" s="15">
        <v>1</v>
      </c>
      <c r="F812" s="15">
        <v>1313</v>
      </c>
      <c r="G812" s="16">
        <v>33.479999999999997</v>
      </c>
      <c r="H812" s="15">
        <f t="shared" si="12"/>
        <v>40</v>
      </c>
      <c r="I812" s="15">
        <v>18</v>
      </c>
      <c r="J812" s="15" t="b">
        <v>0</v>
      </c>
      <c r="K812" s="15" t="b">
        <v>1</v>
      </c>
    </row>
    <row r="813" spans="1:11" x14ac:dyDescent="0.3">
      <c r="A813" s="15" t="s">
        <v>419</v>
      </c>
      <c r="B813" s="15">
        <v>7</v>
      </c>
      <c r="C813" s="15" t="s">
        <v>526</v>
      </c>
      <c r="D813" s="15">
        <v>4</v>
      </c>
      <c r="E813" s="15">
        <v>2</v>
      </c>
      <c r="F813" s="15">
        <v>1241</v>
      </c>
      <c r="G813" s="16">
        <v>33.479999999999997</v>
      </c>
      <c r="H813" s="15">
        <f t="shared" si="12"/>
        <v>38</v>
      </c>
      <c r="I813" s="15">
        <v>18</v>
      </c>
      <c r="J813" s="15" t="b">
        <v>0</v>
      </c>
      <c r="K813" s="15" t="b">
        <v>1</v>
      </c>
    </row>
    <row r="814" spans="1:11" x14ac:dyDescent="0.3">
      <c r="A814" s="15" t="s">
        <v>419</v>
      </c>
      <c r="B814" s="15">
        <v>7</v>
      </c>
      <c r="C814" s="15" t="s">
        <v>526</v>
      </c>
      <c r="D814" s="15">
        <v>4</v>
      </c>
      <c r="E814" s="15">
        <v>3</v>
      </c>
      <c r="F814" s="15">
        <v>1272</v>
      </c>
      <c r="G814" s="16">
        <v>33.479999999999997</v>
      </c>
      <c r="H814" s="15">
        <f t="shared" si="12"/>
        <v>38</v>
      </c>
      <c r="I814" s="15">
        <v>18</v>
      </c>
      <c r="J814" s="15" t="b">
        <v>0</v>
      </c>
      <c r="K814" s="15" t="b">
        <v>1</v>
      </c>
    </row>
    <row r="815" spans="1:11" x14ac:dyDescent="0.3">
      <c r="A815" s="15" t="s">
        <v>419</v>
      </c>
      <c r="B815" s="15">
        <v>7</v>
      </c>
      <c r="C815" s="15" t="s">
        <v>526</v>
      </c>
      <c r="D815" s="15">
        <v>5</v>
      </c>
      <c r="E815" s="15">
        <v>1</v>
      </c>
      <c r="F815" s="15">
        <v>144</v>
      </c>
      <c r="G815" s="16">
        <v>33.479999999999997</v>
      </c>
      <c r="H815" s="15">
        <f t="shared" si="12"/>
        <v>5</v>
      </c>
      <c r="I815" s="15">
        <v>2</v>
      </c>
      <c r="J815" s="15" t="b">
        <v>0</v>
      </c>
      <c r="K815" s="15" t="b">
        <v>1</v>
      </c>
    </row>
    <row r="816" spans="1:11" x14ac:dyDescent="0.3">
      <c r="A816" s="15" t="s">
        <v>419</v>
      </c>
      <c r="B816" s="15">
        <v>7</v>
      </c>
      <c r="C816" s="15" t="s">
        <v>526</v>
      </c>
      <c r="D816" s="15">
        <v>5</v>
      </c>
      <c r="E816" s="15">
        <v>2</v>
      </c>
      <c r="F816" s="15">
        <v>122</v>
      </c>
      <c r="G816" s="16">
        <v>33.479999999999997</v>
      </c>
      <c r="H816" s="15">
        <f t="shared" si="12"/>
        <v>4</v>
      </c>
      <c r="I816" s="15">
        <v>2</v>
      </c>
      <c r="J816" s="15" t="b">
        <v>0</v>
      </c>
      <c r="K816" s="15" t="b">
        <v>1</v>
      </c>
    </row>
    <row r="817" spans="1:11" x14ac:dyDescent="0.3">
      <c r="A817" s="15" t="s">
        <v>419</v>
      </c>
      <c r="B817" s="15">
        <v>7</v>
      </c>
      <c r="C817" s="15" t="s">
        <v>526</v>
      </c>
      <c r="D817" s="15">
        <v>5</v>
      </c>
      <c r="E817" s="15">
        <v>3</v>
      </c>
      <c r="F817" s="15">
        <v>120</v>
      </c>
      <c r="G817" s="16">
        <v>33.479999999999997</v>
      </c>
      <c r="H817" s="15">
        <f t="shared" si="12"/>
        <v>4</v>
      </c>
      <c r="I817" s="15">
        <v>2</v>
      </c>
      <c r="J817" s="15" t="b">
        <v>0</v>
      </c>
      <c r="K817" s="15" t="b">
        <v>1</v>
      </c>
    </row>
    <row r="818" spans="1:11" x14ac:dyDescent="0.3">
      <c r="A818" s="15" t="s">
        <v>420</v>
      </c>
      <c r="B818" s="15">
        <v>8</v>
      </c>
      <c r="C818" s="15" t="s">
        <v>527</v>
      </c>
      <c r="D818" s="15">
        <v>1</v>
      </c>
      <c r="E818" s="15">
        <v>1</v>
      </c>
      <c r="F818" s="15">
        <v>1344</v>
      </c>
      <c r="G818" s="16">
        <v>31.1</v>
      </c>
      <c r="H818" s="15">
        <f t="shared" si="12"/>
        <v>44</v>
      </c>
      <c r="I818" s="15">
        <v>7</v>
      </c>
      <c r="J818" s="15" t="b">
        <v>1</v>
      </c>
      <c r="K818" s="15" t="b">
        <v>1</v>
      </c>
    </row>
    <row r="819" spans="1:11" x14ac:dyDescent="0.3">
      <c r="A819" s="15" t="s">
        <v>420</v>
      </c>
      <c r="B819" s="15">
        <v>8</v>
      </c>
      <c r="C819" s="15" t="s">
        <v>527</v>
      </c>
      <c r="D819" s="15">
        <v>1</v>
      </c>
      <c r="E819" s="15">
        <v>2</v>
      </c>
      <c r="F819" s="15">
        <v>1111</v>
      </c>
      <c r="G819" s="16">
        <v>31.1</v>
      </c>
      <c r="H819" s="15">
        <f t="shared" si="12"/>
        <v>36</v>
      </c>
      <c r="I819" s="15">
        <v>7</v>
      </c>
      <c r="J819" s="15" t="b">
        <v>1</v>
      </c>
      <c r="K819" s="15" t="b">
        <v>1</v>
      </c>
    </row>
    <row r="820" spans="1:11" x14ac:dyDescent="0.3">
      <c r="A820" s="15" t="s">
        <v>420</v>
      </c>
      <c r="B820" s="15">
        <v>8</v>
      </c>
      <c r="C820" s="15" t="s">
        <v>527</v>
      </c>
      <c r="D820" s="15">
        <v>1</v>
      </c>
      <c r="E820" s="15">
        <v>3</v>
      </c>
      <c r="F820" s="15">
        <v>1110</v>
      </c>
      <c r="G820" s="16">
        <v>31.1</v>
      </c>
      <c r="H820" s="15">
        <f t="shared" si="12"/>
        <v>36</v>
      </c>
      <c r="I820" s="15">
        <v>7</v>
      </c>
      <c r="J820" s="15" t="b">
        <v>1</v>
      </c>
      <c r="K820" s="15" t="b">
        <v>1</v>
      </c>
    </row>
    <row r="821" spans="1:11" x14ac:dyDescent="0.3">
      <c r="A821" s="15" t="s">
        <v>420</v>
      </c>
      <c r="B821" s="15">
        <v>8</v>
      </c>
      <c r="C821" s="15" t="s">
        <v>527</v>
      </c>
      <c r="D821" s="15">
        <v>2</v>
      </c>
      <c r="E821" s="15">
        <v>1</v>
      </c>
      <c r="F821" s="15">
        <v>1781</v>
      </c>
      <c r="G821" s="16">
        <v>31.1</v>
      </c>
      <c r="H821" s="15">
        <f t="shared" si="12"/>
        <v>58</v>
      </c>
      <c r="I821" s="15">
        <v>16</v>
      </c>
      <c r="J821" s="15" t="b">
        <v>1</v>
      </c>
      <c r="K821" s="15" t="b">
        <v>1</v>
      </c>
    </row>
    <row r="822" spans="1:11" x14ac:dyDescent="0.3">
      <c r="A822" s="15" t="s">
        <v>420</v>
      </c>
      <c r="B822" s="15">
        <v>8</v>
      </c>
      <c r="C822" s="15" t="s">
        <v>527</v>
      </c>
      <c r="D822" s="15">
        <v>2</v>
      </c>
      <c r="E822" s="15">
        <v>2</v>
      </c>
      <c r="F822" s="15">
        <v>1822</v>
      </c>
      <c r="G822" s="16">
        <v>31.1</v>
      </c>
      <c r="H822" s="15">
        <f t="shared" si="12"/>
        <v>59</v>
      </c>
      <c r="I822" s="15">
        <v>16</v>
      </c>
      <c r="J822" s="15" t="b">
        <v>1</v>
      </c>
      <c r="K822" s="15" t="b">
        <v>1</v>
      </c>
    </row>
    <row r="823" spans="1:11" x14ac:dyDescent="0.3">
      <c r="A823" s="15" t="s">
        <v>420</v>
      </c>
      <c r="B823" s="15">
        <v>8</v>
      </c>
      <c r="C823" s="15" t="s">
        <v>527</v>
      </c>
      <c r="D823" s="15">
        <v>2</v>
      </c>
      <c r="E823" s="15">
        <v>3</v>
      </c>
      <c r="F823" s="15">
        <v>1688</v>
      </c>
      <c r="G823" s="16">
        <v>31.1</v>
      </c>
      <c r="H823" s="15">
        <f t="shared" si="12"/>
        <v>55</v>
      </c>
      <c r="I823" s="15">
        <v>16</v>
      </c>
      <c r="J823" s="15" t="b">
        <v>1</v>
      </c>
      <c r="K823" s="15" t="b">
        <v>1</v>
      </c>
    </row>
    <row r="824" spans="1:11" x14ac:dyDescent="0.3">
      <c r="A824" s="15" t="s">
        <v>420</v>
      </c>
      <c r="B824" s="15">
        <v>8</v>
      </c>
      <c r="C824" s="15" t="s">
        <v>527</v>
      </c>
      <c r="D824" s="15">
        <v>3</v>
      </c>
      <c r="E824" s="15">
        <v>1</v>
      </c>
      <c r="F824" s="15">
        <v>2609</v>
      </c>
      <c r="G824" s="16">
        <v>31.1</v>
      </c>
      <c r="H824" s="15">
        <f t="shared" si="12"/>
        <v>84</v>
      </c>
      <c r="I824" s="15">
        <v>20</v>
      </c>
      <c r="J824" s="15" t="b">
        <v>1</v>
      </c>
      <c r="K824" s="15" t="b">
        <v>1</v>
      </c>
    </row>
    <row r="825" spans="1:11" x14ac:dyDescent="0.3">
      <c r="A825" s="15" t="s">
        <v>420</v>
      </c>
      <c r="B825" s="15">
        <v>8</v>
      </c>
      <c r="C825" s="15" t="s">
        <v>527</v>
      </c>
      <c r="D825" s="15">
        <v>3</v>
      </c>
      <c r="E825" s="15">
        <v>2</v>
      </c>
      <c r="F825" s="15">
        <v>2546</v>
      </c>
      <c r="G825" s="16">
        <v>31.1</v>
      </c>
      <c r="H825" s="15">
        <f t="shared" si="12"/>
        <v>82</v>
      </c>
      <c r="I825" s="15">
        <v>20</v>
      </c>
      <c r="J825" s="15" t="b">
        <v>1</v>
      </c>
      <c r="K825" s="15" t="b">
        <v>1</v>
      </c>
    </row>
    <row r="826" spans="1:11" x14ac:dyDescent="0.3">
      <c r="A826" s="15" t="s">
        <v>420</v>
      </c>
      <c r="B826" s="15">
        <v>8</v>
      </c>
      <c r="C826" s="15" t="s">
        <v>527</v>
      </c>
      <c r="D826" s="15">
        <v>3</v>
      </c>
      <c r="E826" s="15">
        <v>3</v>
      </c>
      <c r="F826" s="15">
        <v>2371</v>
      </c>
      <c r="G826" s="16">
        <v>31.1</v>
      </c>
      <c r="H826" s="15">
        <f t="shared" si="12"/>
        <v>77</v>
      </c>
      <c r="I826" s="15">
        <v>20</v>
      </c>
      <c r="J826" s="15" t="b">
        <v>1</v>
      </c>
      <c r="K826" s="15" t="b">
        <v>1</v>
      </c>
    </row>
    <row r="827" spans="1:11" x14ac:dyDescent="0.3">
      <c r="A827" s="15" t="s">
        <v>420</v>
      </c>
      <c r="B827" s="15">
        <v>8</v>
      </c>
      <c r="C827" s="15" t="s">
        <v>527</v>
      </c>
      <c r="D827" s="15">
        <v>4</v>
      </c>
      <c r="E827" s="15">
        <v>1</v>
      </c>
      <c r="F827" s="15">
        <v>1042</v>
      </c>
      <c r="G827" s="16">
        <v>31.1</v>
      </c>
      <c r="H827" s="15">
        <f t="shared" si="12"/>
        <v>34</v>
      </c>
      <c r="I827" s="15">
        <v>10</v>
      </c>
      <c r="J827" s="15" t="b">
        <v>0</v>
      </c>
      <c r="K827" s="15" t="b">
        <v>1</v>
      </c>
    </row>
    <row r="828" spans="1:11" x14ac:dyDescent="0.3">
      <c r="A828" s="15" t="s">
        <v>420</v>
      </c>
      <c r="B828" s="15">
        <v>8</v>
      </c>
      <c r="C828" s="15" t="s">
        <v>527</v>
      </c>
      <c r="D828" s="15">
        <v>4</v>
      </c>
      <c r="E828" s="15">
        <v>2</v>
      </c>
      <c r="F828" s="15">
        <v>1080</v>
      </c>
      <c r="G828" s="16">
        <v>31.1</v>
      </c>
      <c r="H828" s="15">
        <f t="shared" si="12"/>
        <v>35</v>
      </c>
      <c r="I828" s="15">
        <v>10</v>
      </c>
      <c r="J828" s="15" t="b">
        <v>0</v>
      </c>
      <c r="K828" s="15" t="b">
        <v>1</v>
      </c>
    </row>
    <row r="829" spans="1:11" x14ac:dyDescent="0.3">
      <c r="A829" s="15" t="s">
        <v>420</v>
      </c>
      <c r="B829" s="15">
        <v>8</v>
      </c>
      <c r="C829" s="15" t="s">
        <v>527</v>
      </c>
      <c r="D829" s="15">
        <v>4</v>
      </c>
      <c r="E829" s="15">
        <v>3</v>
      </c>
      <c r="F829" s="15">
        <v>984</v>
      </c>
      <c r="G829" s="16">
        <v>31.1</v>
      </c>
      <c r="H829" s="15">
        <f t="shared" si="12"/>
        <v>32</v>
      </c>
      <c r="I829" s="15">
        <v>10</v>
      </c>
      <c r="J829" s="15" t="b">
        <v>0</v>
      </c>
      <c r="K829" s="15" t="b">
        <v>1</v>
      </c>
    </row>
    <row r="830" spans="1:11" x14ac:dyDescent="0.3">
      <c r="A830" s="15" t="s">
        <v>420</v>
      </c>
      <c r="B830" s="15">
        <v>8</v>
      </c>
      <c r="C830" s="15" t="s">
        <v>527</v>
      </c>
      <c r="D830" s="15">
        <v>5</v>
      </c>
      <c r="E830" s="15">
        <v>1</v>
      </c>
      <c r="F830" s="15">
        <v>941</v>
      </c>
      <c r="G830" s="16">
        <v>31.1</v>
      </c>
      <c r="H830" s="15">
        <f t="shared" si="12"/>
        <v>31</v>
      </c>
      <c r="I830" s="15">
        <v>9</v>
      </c>
      <c r="J830" s="15" t="b">
        <v>0</v>
      </c>
      <c r="K830" s="15" t="b">
        <v>1</v>
      </c>
    </row>
    <row r="831" spans="1:11" x14ac:dyDescent="0.3">
      <c r="A831" s="15" t="s">
        <v>420</v>
      </c>
      <c r="B831" s="15">
        <v>8</v>
      </c>
      <c r="C831" s="15" t="s">
        <v>527</v>
      </c>
      <c r="D831" s="15">
        <v>5</v>
      </c>
      <c r="E831" s="15">
        <v>2</v>
      </c>
      <c r="F831" s="15">
        <v>915</v>
      </c>
      <c r="G831" s="16">
        <v>31.1</v>
      </c>
      <c r="H831" s="15">
        <f t="shared" si="12"/>
        <v>30</v>
      </c>
      <c r="I831" s="15">
        <v>9</v>
      </c>
      <c r="J831" s="15" t="b">
        <v>0</v>
      </c>
      <c r="K831" s="15" t="b">
        <v>1</v>
      </c>
    </row>
    <row r="832" spans="1:11" x14ac:dyDescent="0.3">
      <c r="A832" s="15" t="s">
        <v>420</v>
      </c>
      <c r="B832" s="15">
        <v>8</v>
      </c>
      <c r="C832" s="15" t="s">
        <v>527</v>
      </c>
      <c r="D832" s="15">
        <v>5</v>
      </c>
      <c r="E832" s="15">
        <v>3</v>
      </c>
      <c r="F832" s="15">
        <v>920</v>
      </c>
      <c r="G832" s="16">
        <v>31.1</v>
      </c>
      <c r="H832" s="15">
        <f t="shared" si="12"/>
        <v>30</v>
      </c>
      <c r="I832" s="15">
        <v>9</v>
      </c>
      <c r="J832" s="15" t="b">
        <v>0</v>
      </c>
      <c r="K832" s="15" t="b">
        <v>1</v>
      </c>
    </row>
    <row r="833" spans="1:11" x14ac:dyDescent="0.3">
      <c r="A833" s="15" t="s">
        <v>420</v>
      </c>
      <c r="B833" s="15">
        <v>8</v>
      </c>
      <c r="C833" s="15" t="s">
        <v>528</v>
      </c>
      <c r="D833" s="15">
        <v>1</v>
      </c>
      <c r="E833" s="15">
        <v>1</v>
      </c>
      <c r="F833" s="15">
        <v>2852</v>
      </c>
      <c r="G833" s="16">
        <v>31.18</v>
      </c>
      <c r="H833" s="15">
        <f t="shared" si="12"/>
        <v>92</v>
      </c>
      <c r="I833" s="15">
        <v>39</v>
      </c>
      <c r="J833" s="15" t="b">
        <v>1</v>
      </c>
      <c r="K833" s="15" t="b">
        <v>1</v>
      </c>
    </row>
    <row r="834" spans="1:11" x14ac:dyDescent="0.3">
      <c r="A834" s="15" t="s">
        <v>420</v>
      </c>
      <c r="B834" s="15">
        <v>8</v>
      </c>
      <c r="C834" s="15" t="s">
        <v>528</v>
      </c>
      <c r="D834" s="15">
        <v>1</v>
      </c>
      <c r="E834" s="15">
        <v>2</v>
      </c>
      <c r="F834" s="15">
        <v>2648</v>
      </c>
      <c r="G834" s="16">
        <v>31.18</v>
      </c>
      <c r="H834" s="15">
        <f t="shared" si="12"/>
        <v>85</v>
      </c>
      <c r="I834" s="15">
        <v>39</v>
      </c>
      <c r="J834" s="15" t="b">
        <v>1</v>
      </c>
      <c r="K834" s="15" t="b">
        <v>1</v>
      </c>
    </row>
    <row r="835" spans="1:11" x14ac:dyDescent="0.3">
      <c r="A835" s="15" t="s">
        <v>420</v>
      </c>
      <c r="B835" s="15">
        <v>8</v>
      </c>
      <c r="C835" s="15" t="s">
        <v>528</v>
      </c>
      <c r="D835" s="15">
        <v>1</v>
      </c>
      <c r="E835" s="15">
        <v>3</v>
      </c>
      <c r="F835" s="15">
        <v>3077</v>
      </c>
      <c r="G835" s="16">
        <v>31.18</v>
      </c>
      <c r="H835" s="15">
        <f t="shared" ref="H835:H898" si="13">ROUNDUP(F835/G835,0)</f>
        <v>99</v>
      </c>
      <c r="I835" s="15">
        <v>39</v>
      </c>
      <c r="J835" s="15" t="b">
        <v>1</v>
      </c>
      <c r="K835" s="15" t="b">
        <v>1</v>
      </c>
    </row>
    <row r="836" spans="1:11" x14ac:dyDescent="0.3">
      <c r="A836" s="15" t="s">
        <v>420</v>
      </c>
      <c r="B836" s="15">
        <v>8</v>
      </c>
      <c r="C836" s="15" t="s">
        <v>528</v>
      </c>
      <c r="D836" s="15">
        <v>2</v>
      </c>
      <c r="E836" s="15">
        <v>1</v>
      </c>
      <c r="F836" s="15">
        <v>788</v>
      </c>
      <c r="G836" s="16">
        <v>31.18</v>
      </c>
      <c r="H836" s="15">
        <f t="shared" si="13"/>
        <v>26</v>
      </c>
      <c r="I836" s="15">
        <v>6</v>
      </c>
      <c r="J836" s="15" t="b">
        <v>1</v>
      </c>
      <c r="K836" s="15" t="b">
        <v>1</v>
      </c>
    </row>
    <row r="837" spans="1:11" x14ac:dyDescent="0.3">
      <c r="A837" s="15" t="s">
        <v>420</v>
      </c>
      <c r="B837" s="15">
        <v>8</v>
      </c>
      <c r="C837" s="15" t="s">
        <v>528</v>
      </c>
      <c r="D837" s="15">
        <v>2</v>
      </c>
      <c r="E837" s="15">
        <v>2</v>
      </c>
      <c r="F837" s="15">
        <v>687</v>
      </c>
      <c r="G837" s="16">
        <v>31.18</v>
      </c>
      <c r="H837" s="15">
        <f t="shared" si="13"/>
        <v>23</v>
      </c>
      <c r="I837" s="15">
        <v>6</v>
      </c>
      <c r="J837" s="15" t="b">
        <v>1</v>
      </c>
      <c r="K837" s="15" t="b">
        <v>1</v>
      </c>
    </row>
    <row r="838" spans="1:11" x14ac:dyDescent="0.3">
      <c r="A838" s="15" t="s">
        <v>420</v>
      </c>
      <c r="B838" s="15">
        <v>8</v>
      </c>
      <c r="C838" s="15" t="s">
        <v>528</v>
      </c>
      <c r="D838" s="15">
        <v>2</v>
      </c>
      <c r="E838" s="15">
        <v>3</v>
      </c>
      <c r="F838" s="15">
        <v>706</v>
      </c>
      <c r="G838" s="16">
        <v>31.18</v>
      </c>
      <c r="H838" s="15">
        <f t="shared" si="13"/>
        <v>23</v>
      </c>
      <c r="I838" s="15">
        <v>6</v>
      </c>
      <c r="J838" s="15" t="b">
        <v>1</v>
      </c>
      <c r="K838" s="15" t="b">
        <v>1</v>
      </c>
    </row>
    <row r="839" spans="1:11" x14ac:dyDescent="0.3">
      <c r="A839" s="15" t="s">
        <v>420</v>
      </c>
      <c r="B839" s="15">
        <v>8</v>
      </c>
      <c r="C839" s="15" t="s">
        <v>528</v>
      </c>
      <c r="D839" s="15">
        <v>3</v>
      </c>
      <c r="E839" s="15">
        <v>1</v>
      </c>
      <c r="F839" s="15">
        <v>1341</v>
      </c>
      <c r="G839" s="16">
        <v>31.18</v>
      </c>
      <c r="H839" s="15">
        <f t="shared" si="13"/>
        <v>44</v>
      </c>
      <c r="I839" s="15">
        <v>19</v>
      </c>
      <c r="J839" s="15" t="b">
        <v>1</v>
      </c>
      <c r="K839" s="15" t="b">
        <v>1</v>
      </c>
    </row>
    <row r="840" spans="1:11" x14ac:dyDescent="0.3">
      <c r="A840" s="15" t="s">
        <v>420</v>
      </c>
      <c r="B840" s="15">
        <v>8</v>
      </c>
      <c r="C840" s="15" t="s">
        <v>528</v>
      </c>
      <c r="D840" s="15">
        <v>3</v>
      </c>
      <c r="E840" s="15">
        <v>2</v>
      </c>
      <c r="F840" s="15">
        <v>1351</v>
      </c>
      <c r="G840" s="16">
        <v>31.18</v>
      </c>
      <c r="H840" s="15">
        <f t="shared" si="13"/>
        <v>44</v>
      </c>
      <c r="I840" s="15">
        <v>19</v>
      </c>
      <c r="J840" s="15" t="b">
        <v>1</v>
      </c>
      <c r="K840" s="15" t="b">
        <v>1</v>
      </c>
    </row>
    <row r="841" spans="1:11" x14ac:dyDescent="0.3">
      <c r="A841" s="15" t="s">
        <v>420</v>
      </c>
      <c r="B841" s="15">
        <v>8</v>
      </c>
      <c r="C841" s="15" t="s">
        <v>528</v>
      </c>
      <c r="D841" s="15">
        <v>3</v>
      </c>
      <c r="E841" s="15">
        <v>3</v>
      </c>
      <c r="F841" s="15">
        <v>1385</v>
      </c>
      <c r="G841" s="16">
        <v>31.18</v>
      </c>
      <c r="H841" s="15">
        <f t="shared" si="13"/>
        <v>45</v>
      </c>
      <c r="I841" s="15">
        <v>19</v>
      </c>
      <c r="J841" s="15" t="b">
        <v>1</v>
      </c>
      <c r="K841" s="15" t="b">
        <v>1</v>
      </c>
    </row>
    <row r="842" spans="1:11" x14ac:dyDescent="0.3">
      <c r="A842" s="15" t="s">
        <v>420</v>
      </c>
      <c r="B842" s="15">
        <v>8</v>
      </c>
      <c r="C842" s="15" t="s">
        <v>528</v>
      </c>
      <c r="D842" s="15">
        <v>5</v>
      </c>
      <c r="E842" s="15">
        <v>1</v>
      </c>
      <c r="F842" s="15">
        <v>510</v>
      </c>
      <c r="G842" s="16">
        <v>31.18</v>
      </c>
      <c r="H842" s="15">
        <f t="shared" si="13"/>
        <v>17</v>
      </c>
      <c r="I842" s="15">
        <v>4</v>
      </c>
      <c r="J842" s="15" t="b">
        <v>0</v>
      </c>
      <c r="K842" s="15" t="b">
        <v>1</v>
      </c>
    </row>
    <row r="843" spans="1:11" x14ac:dyDescent="0.3">
      <c r="A843" s="15" t="s">
        <v>420</v>
      </c>
      <c r="B843" s="15">
        <v>8</v>
      </c>
      <c r="C843" s="15" t="s">
        <v>528</v>
      </c>
      <c r="D843" s="15">
        <v>5</v>
      </c>
      <c r="E843" s="15">
        <v>2</v>
      </c>
      <c r="F843" s="15">
        <v>481</v>
      </c>
      <c r="G843" s="16">
        <v>31.18</v>
      </c>
      <c r="H843" s="15">
        <f t="shared" si="13"/>
        <v>16</v>
      </c>
      <c r="I843" s="15">
        <v>4</v>
      </c>
      <c r="J843" s="15" t="b">
        <v>0</v>
      </c>
      <c r="K843" s="15" t="b">
        <v>1</v>
      </c>
    </row>
    <row r="844" spans="1:11" x14ac:dyDescent="0.3">
      <c r="A844" s="15" t="s">
        <v>420</v>
      </c>
      <c r="B844" s="15">
        <v>8</v>
      </c>
      <c r="C844" s="15" t="s">
        <v>528</v>
      </c>
      <c r="D844" s="15">
        <v>5</v>
      </c>
      <c r="E844" s="15">
        <v>3</v>
      </c>
      <c r="F844" s="15">
        <v>491</v>
      </c>
      <c r="G844" s="16">
        <v>31.18</v>
      </c>
      <c r="H844" s="15">
        <f t="shared" si="13"/>
        <v>16</v>
      </c>
      <c r="I844" s="15">
        <v>4</v>
      </c>
      <c r="J844" s="15" t="b">
        <v>0</v>
      </c>
      <c r="K844" s="15" t="b">
        <v>1</v>
      </c>
    </row>
    <row r="845" spans="1:11" x14ac:dyDescent="0.3">
      <c r="A845" s="15" t="s">
        <v>420</v>
      </c>
      <c r="B845" s="15">
        <v>8</v>
      </c>
      <c r="C845" s="15" t="s">
        <v>529</v>
      </c>
      <c r="D845" s="15">
        <v>1</v>
      </c>
      <c r="E845" s="15">
        <v>1</v>
      </c>
      <c r="F845" s="15">
        <v>28</v>
      </c>
      <c r="G845" s="16">
        <v>28.09</v>
      </c>
      <c r="H845" s="15">
        <f t="shared" si="13"/>
        <v>1</v>
      </c>
      <c r="I845" s="15">
        <v>1</v>
      </c>
      <c r="J845" s="15" t="b">
        <v>1</v>
      </c>
      <c r="K845" s="15" t="b">
        <v>1</v>
      </c>
    </row>
    <row r="846" spans="1:11" x14ac:dyDescent="0.3">
      <c r="A846" s="15" t="s">
        <v>420</v>
      </c>
      <c r="B846" s="15">
        <v>8</v>
      </c>
      <c r="C846" s="15" t="s">
        <v>529</v>
      </c>
      <c r="D846" s="15">
        <v>1</v>
      </c>
      <c r="E846" s="15">
        <v>2</v>
      </c>
      <c r="F846" s="15">
        <v>31</v>
      </c>
      <c r="G846" s="16">
        <v>28.09</v>
      </c>
      <c r="H846" s="15">
        <f t="shared" si="13"/>
        <v>2</v>
      </c>
      <c r="I846" s="15">
        <v>1</v>
      </c>
      <c r="J846" s="15" t="b">
        <v>1</v>
      </c>
      <c r="K846" s="15" t="b">
        <v>1</v>
      </c>
    </row>
    <row r="847" spans="1:11" x14ac:dyDescent="0.3">
      <c r="A847" s="15" t="s">
        <v>420</v>
      </c>
      <c r="B847" s="15">
        <v>8</v>
      </c>
      <c r="C847" s="15" t="s">
        <v>529</v>
      </c>
      <c r="D847" s="15">
        <v>1</v>
      </c>
      <c r="E847" s="15">
        <v>3</v>
      </c>
      <c r="F847" s="15">
        <v>28</v>
      </c>
      <c r="G847" s="16">
        <v>28.09</v>
      </c>
      <c r="H847" s="15">
        <f t="shared" si="13"/>
        <v>1</v>
      </c>
      <c r="I847" s="15">
        <v>1</v>
      </c>
      <c r="J847" s="15" t="b">
        <v>1</v>
      </c>
      <c r="K847" s="15" t="b">
        <v>1</v>
      </c>
    </row>
    <row r="848" spans="1:11" x14ac:dyDescent="0.3">
      <c r="A848" s="15" t="s">
        <v>420</v>
      </c>
      <c r="B848" s="15">
        <v>8</v>
      </c>
      <c r="C848" s="15" t="s">
        <v>529</v>
      </c>
      <c r="D848" s="15">
        <v>2</v>
      </c>
      <c r="E848" s="15">
        <v>1</v>
      </c>
      <c r="F848" s="15">
        <v>223</v>
      </c>
      <c r="G848" s="16">
        <v>28.09</v>
      </c>
      <c r="H848" s="15">
        <f t="shared" si="13"/>
        <v>8</v>
      </c>
      <c r="I848" s="15">
        <v>3</v>
      </c>
      <c r="J848" s="15" t="b">
        <v>1</v>
      </c>
      <c r="K848" s="15" t="b">
        <v>1</v>
      </c>
    </row>
    <row r="849" spans="1:11" x14ac:dyDescent="0.3">
      <c r="A849" s="15" t="s">
        <v>420</v>
      </c>
      <c r="B849" s="15">
        <v>8</v>
      </c>
      <c r="C849" s="15" t="s">
        <v>529</v>
      </c>
      <c r="D849" s="15">
        <v>2</v>
      </c>
      <c r="E849" s="15">
        <v>2</v>
      </c>
      <c r="F849" s="15">
        <v>204</v>
      </c>
      <c r="G849" s="16">
        <v>28.09</v>
      </c>
      <c r="H849" s="15">
        <f t="shared" si="13"/>
        <v>8</v>
      </c>
      <c r="I849" s="15">
        <v>3</v>
      </c>
      <c r="J849" s="15" t="b">
        <v>1</v>
      </c>
      <c r="K849" s="15" t="b">
        <v>1</v>
      </c>
    </row>
    <row r="850" spans="1:11" x14ac:dyDescent="0.3">
      <c r="A850" s="15" t="s">
        <v>420</v>
      </c>
      <c r="B850" s="15">
        <v>8</v>
      </c>
      <c r="C850" s="15" t="s">
        <v>529</v>
      </c>
      <c r="D850" s="15">
        <v>2</v>
      </c>
      <c r="E850" s="15">
        <v>3</v>
      </c>
      <c r="F850" s="15">
        <v>198</v>
      </c>
      <c r="G850" s="16">
        <v>28.09</v>
      </c>
      <c r="H850" s="15">
        <f t="shared" si="13"/>
        <v>8</v>
      </c>
      <c r="I850" s="15">
        <v>3</v>
      </c>
      <c r="J850" s="15" t="b">
        <v>1</v>
      </c>
      <c r="K850" s="15" t="b">
        <v>1</v>
      </c>
    </row>
    <row r="851" spans="1:11" x14ac:dyDescent="0.3">
      <c r="A851" s="15" t="s">
        <v>420</v>
      </c>
      <c r="B851" s="15">
        <v>8</v>
      </c>
      <c r="C851" s="15" t="s">
        <v>529</v>
      </c>
      <c r="D851" s="15">
        <v>3</v>
      </c>
      <c r="E851" s="15">
        <v>1</v>
      </c>
      <c r="F851" s="15">
        <v>72</v>
      </c>
      <c r="G851" s="16">
        <v>28.09</v>
      </c>
      <c r="H851" s="15">
        <f t="shared" si="13"/>
        <v>3</v>
      </c>
      <c r="I851" s="15">
        <v>1</v>
      </c>
      <c r="J851" s="15" t="b">
        <v>1</v>
      </c>
      <c r="K851" s="15" t="b">
        <v>1</v>
      </c>
    </row>
    <row r="852" spans="1:11" x14ac:dyDescent="0.3">
      <c r="A852" s="15" t="s">
        <v>420</v>
      </c>
      <c r="B852" s="15">
        <v>8</v>
      </c>
      <c r="C852" s="15" t="s">
        <v>529</v>
      </c>
      <c r="D852" s="15">
        <v>3</v>
      </c>
      <c r="E852" s="15">
        <v>2</v>
      </c>
      <c r="F852" s="15">
        <v>51</v>
      </c>
      <c r="G852" s="16">
        <v>28.09</v>
      </c>
      <c r="H852" s="15">
        <f t="shared" si="13"/>
        <v>2</v>
      </c>
      <c r="I852" s="15">
        <v>1</v>
      </c>
      <c r="J852" s="15" t="b">
        <v>1</v>
      </c>
      <c r="K852" s="15" t="b">
        <v>1</v>
      </c>
    </row>
    <row r="853" spans="1:11" x14ac:dyDescent="0.3">
      <c r="A853" s="15" t="s">
        <v>420</v>
      </c>
      <c r="B853" s="15">
        <v>8</v>
      </c>
      <c r="C853" s="15" t="s">
        <v>529</v>
      </c>
      <c r="D853" s="15">
        <v>3</v>
      </c>
      <c r="E853" s="15">
        <v>3</v>
      </c>
      <c r="F853" s="15">
        <v>46</v>
      </c>
      <c r="G853" s="16">
        <v>28.09</v>
      </c>
      <c r="H853" s="15">
        <f t="shared" si="13"/>
        <v>2</v>
      </c>
      <c r="I853" s="15">
        <v>1</v>
      </c>
      <c r="J853" s="15" t="b">
        <v>1</v>
      </c>
      <c r="K853" s="15" t="b">
        <v>1</v>
      </c>
    </row>
    <row r="854" spans="1:11" x14ac:dyDescent="0.3">
      <c r="A854" s="15" t="s">
        <v>420</v>
      </c>
      <c r="B854" s="15">
        <v>8</v>
      </c>
      <c r="C854" s="15" t="s">
        <v>529</v>
      </c>
      <c r="D854" s="15">
        <v>4</v>
      </c>
      <c r="E854" s="15">
        <v>1</v>
      </c>
      <c r="F854" s="15">
        <v>688</v>
      </c>
      <c r="G854" s="16">
        <v>28.09</v>
      </c>
      <c r="H854" s="15">
        <f t="shared" si="13"/>
        <v>25</v>
      </c>
      <c r="I854" s="15">
        <v>7</v>
      </c>
      <c r="J854" s="15" t="b">
        <v>0</v>
      </c>
      <c r="K854" s="15" t="b">
        <v>1</v>
      </c>
    </row>
    <row r="855" spans="1:11" x14ac:dyDescent="0.3">
      <c r="A855" s="15" t="s">
        <v>420</v>
      </c>
      <c r="B855" s="15">
        <v>8</v>
      </c>
      <c r="C855" s="15" t="s">
        <v>529</v>
      </c>
      <c r="D855" s="15">
        <v>4</v>
      </c>
      <c r="E855" s="15">
        <v>2</v>
      </c>
      <c r="F855" s="15">
        <v>608</v>
      </c>
      <c r="G855" s="16">
        <v>28.09</v>
      </c>
      <c r="H855" s="15">
        <f t="shared" si="13"/>
        <v>22</v>
      </c>
      <c r="I855" s="15">
        <v>7</v>
      </c>
      <c r="J855" s="15" t="b">
        <v>0</v>
      </c>
      <c r="K855" s="15" t="b">
        <v>1</v>
      </c>
    </row>
    <row r="856" spans="1:11" x14ac:dyDescent="0.3">
      <c r="A856" s="15" t="s">
        <v>420</v>
      </c>
      <c r="B856" s="15">
        <v>8</v>
      </c>
      <c r="C856" s="15" t="s">
        <v>529</v>
      </c>
      <c r="D856" s="15">
        <v>4</v>
      </c>
      <c r="E856" s="15">
        <v>3</v>
      </c>
      <c r="F856" s="15">
        <v>577</v>
      </c>
      <c r="G856" s="16">
        <v>28.09</v>
      </c>
      <c r="H856" s="15">
        <f t="shared" si="13"/>
        <v>21</v>
      </c>
      <c r="I856" s="15">
        <v>7</v>
      </c>
      <c r="J856" s="15" t="b">
        <v>0</v>
      </c>
      <c r="K856" s="15" t="b">
        <v>1</v>
      </c>
    </row>
    <row r="857" spans="1:11" x14ac:dyDescent="0.3">
      <c r="A857" s="15" t="s">
        <v>420</v>
      </c>
      <c r="B857" s="15">
        <v>8</v>
      </c>
      <c r="C857" s="15" t="s">
        <v>529</v>
      </c>
      <c r="D857" s="15">
        <v>5</v>
      </c>
      <c r="E857" s="15">
        <v>1</v>
      </c>
      <c r="F857" s="15">
        <v>642</v>
      </c>
      <c r="G857" s="16">
        <v>28.09</v>
      </c>
      <c r="H857" s="15">
        <f t="shared" si="13"/>
        <v>23</v>
      </c>
      <c r="I857" s="15">
        <v>10</v>
      </c>
      <c r="J857" s="15" t="b">
        <v>0</v>
      </c>
      <c r="K857" s="15" t="b">
        <v>1</v>
      </c>
    </row>
    <row r="858" spans="1:11" x14ac:dyDescent="0.3">
      <c r="A858" s="15" t="s">
        <v>420</v>
      </c>
      <c r="B858" s="15">
        <v>8</v>
      </c>
      <c r="C858" s="15" t="s">
        <v>529</v>
      </c>
      <c r="D858" s="15">
        <v>5</v>
      </c>
      <c r="E858" s="15">
        <v>2</v>
      </c>
      <c r="F858" s="15">
        <v>609</v>
      </c>
      <c r="G858" s="16">
        <v>28.09</v>
      </c>
      <c r="H858" s="15">
        <f t="shared" si="13"/>
        <v>22</v>
      </c>
      <c r="I858" s="15">
        <v>10</v>
      </c>
      <c r="J858" s="15" t="b">
        <v>0</v>
      </c>
      <c r="K858" s="15" t="b">
        <v>1</v>
      </c>
    </row>
    <row r="859" spans="1:11" x14ac:dyDescent="0.3">
      <c r="A859" s="15" t="s">
        <v>420</v>
      </c>
      <c r="B859" s="15">
        <v>8</v>
      </c>
      <c r="C859" s="15" t="s">
        <v>529</v>
      </c>
      <c r="D859" s="15">
        <v>5</v>
      </c>
      <c r="E859" s="15">
        <v>3</v>
      </c>
      <c r="F859" s="15">
        <v>569</v>
      </c>
      <c r="G859" s="16">
        <v>28.09</v>
      </c>
      <c r="H859" s="15">
        <f t="shared" si="13"/>
        <v>21</v>
      </c>
      <c r="I859" s="15">
        <v>10</v>
      </c>
      <c r="J859" s="15" t="b">
        <v>0</v>
      </c>
      <c r="K859" s="15" t="b">
        <v>1</v>
      </c>
    </row>
    <row r="860" spans="1:11" x14ac:dyDescent="0.3">
      <c r="A860" s="15" t="s">
        <v>420</v>
      </c>
      <c r="B860" s="15">
        <v>8</v>
      </c>
      <c r="C860" s="15" t="s">
        <v>530</v>
      </c>
      <c r="D860" s="15">
        <v>1</v>
      </c>
      <c r="E860" s="15">
        <v>1</v>
      </c>
      <c r="F860" s="15">
        <v>281</v>
      </c>
      <c r="G860" s="16">
        <v>29.84</v>
      </c>
      <c r="H860" s="15">
        <f t="shared" si="13"/>
        <v>10</v>
      </c>
      <c r="I860" s="15">
        <v>3</v>
      </c>
      <c r="J860" s="15" t="b">
        <v>1</v>
      </c>
      <c r="K860" s="15" t="b">
        <v>1</v>
      </c>
    </row>
    <row r="861" spans="1:11" x14ac:dyDescent="0.3">
      <c r="A861" s="15" t="s">
        <v>420</v>
      </c>
      <c r="B861" s="15">
        <v>8</v>
      </c>
      <c r="C861" s="15" t="s">
        <v>530</v>
      </c>
      <c r="D861" s="15">
        <v>1</v>
      </c>
      <c r="E861" s="15">
        <v>2</v>
      </c>
      <c r="F861" s="15">
        <v>288</v>
      </c>
      <c r="G861" s="16">
        <v>29.84</v>
      </c>
      <c r="H861" s="15">
        <f t="shared" si="13"/>
        <v>10</v>
      </c>
      <c r="I861" s="15">
        <v>3</v>
      </c>
      <c r="J861" s="15" t="b">
        <v>1</v>
      </c>
      <c r="K861" s="15" t="b">
        <v>1</v>
      </c>
    </row>
    <row r="862" spans="1:11" x14ac:dyDescent="0.3">
      <c r="A862" s="15" t="s">
        <v>420</v>
      </c>
      <c r="B862" s="15">
        <v>8</v>
      </c>
      <c r="C862" s="15" t="s">
        <v>530</v>
      </c>
      <c r="D862" s="15">
        <v>1</v>
      </c>
      <c r="E862" s="15">
        <v>3</v>
      </c>
      <c r="F862" s="15">
        <v>239</v>
      </c>
      <c r="G862" s="16">
        <v>29.84</v>
      </c>
      <c r="H862" s="15">
        <f t="shared" si="13"/>
        <v>9</v>
      </c>
      <c r="I862" s="15">
        <v>3</v>
      </c>
      <c r="J862" s="15" t="b">
        <v>1</v>
      </c>
      <c r="K862" s="15" t="b">
        <v>1</v>
      </c>
    </row>
    <row r="863" spans="1:11" x14ac:dyDescent="0.3">
      <c r="A863" s="15" t="s">
        <v>420</v>
      </c>
      <c r="B863" s="15">
        <v>8</v>
      </c>
      <c r="C863" s="15" t="s">
        <v>530</v>
      </c>
      <c r="D863" s="15">
        <v>2</v>
      </c>
      <c r="E863" s="15">
        <v>1</v>
      </c>
      <c r="F863" s="15">
        <v>1856</v>
      </c>
      <c r="G863" s="16">
        <v>29.84</v>
      </c>
      <c r="H863" s="15">
        <f t="shared" si="13"/>
        <v>63</v>
      </c>
      <c r="I863" s="15">
        <v>15</v>
      </c>
      <c r="J863" s="15" t="b">
        <v>1</v>
      </c>
      <c r="K863" s="15" t="b">
        <v>1</v>
      </c>
    </row>
    <row r="864" spans="1:11" x14ac:dyDescent="0.3">
      <c r="A864" s="15" t="s">
        <v>420</v>
      </c>
      <c r="B864" s="15">
        <v>8</v>
      </c>
      <c r="C864" s="15" t="s">
        <v>530</v>
      </c>
      <c r="D864" s="15">
        <v>2</v>
      </c>
      <c r="E864" s="15">
        <v>2</v>
      </c>
      <c r="F864" s="15">
        <v>1600</v>
      </c>
      <c r="G864" s="16">
        <v>29.84</v>
      </c>
      <c r="H864" s="15">
        <f t="shared" si="13"/>
        <v>54</v>
      </c>
      <c r="I864" s="15">
        <v>15</v>
      </c>
      <c r="J864" s="15" t="b">
        <v>1</v>
      </c>
      <c r="K864" s="15" t="b">
        <v>1</v>
      </c>
    </row>
    <row r="865" spans="1:11" x14ac:dyDescent="0.3">
      <c r="A865" s="15" t="s">
        <v>420</v>
      </c>
      <c r="B865" s="15">
        <v>8</v>
      </c>
      <c r="C865" s="15" t="s">
        <v>530</v>
      </c>
      <c r="D865" s="15">
        <v>2</v>
      </c>
      <c r="E865" s="15">
        <v>3</v>
      </c>
      <c r="F865" s="15">
        <v>1489</v>
      </c>
      <c r="G865" s="16">
        <v>29.84</v>
      </c>
      <c r="H865" s="15">
        <f t="shared" si="13"/>
        <v>50</v>
      </c>
      <c r="I865" s="15">
        <v>15</v>
      </c>
      <c r="J865" s="15" t="b">
        <v>1</v>
      </c>
      <c r="K865" s="15" t="b">
        <v>1</v>
      </c>
    </row>
    <row r="866" spans="1:11" x14ac:dyDescent="0.3">
      <c r="A866" s="15" t="s">
        <v>420</v>
      </c>
      <c r="B866" s="15">
        <v>8</v>
      </c>
      <c r="C866" s="15" t="s">
        <v>530</v>
      </c>
      <c r="D866" s="15">
        <v>3</v>
      </c>
      <c r="E866" s="15">
        <v>1</v>
      </c>
      <c r="F866" s="15">
        <v>763</v>
      </c>
      <c r="G866" s="16">
        <v>29.84</v>
      </c>
      <c r="H866" s="15">
        <f t="shared" si="13"/>
        <v>26</v>
      </c>
      <c r="I866" s="15">
        <v>8</v>
      </c>
      <c r="J866" s="15" t="b">
        <v>1</v>
      </c>
      <c r="K866" s="15" t="b">
        <v>1</v>
      </c>
    </row>
    <row r="867" spans="1:11" x14ac:dyDescent="0.3">
      <c r="A867" s="15" t="s">
        <v>420</v>
      </c>
      <c r="B867" s="15">
        <v>8</v>
      </c>
      <c r="C867" s="15" t="s">
        <v>530</v>
      </c>
      <c r="D867" s="15">
        <v>3</v>
      </c>
      <c r="E867" s="15">
        <v>2</v>
      </c>
      <c r="F867" s="15">
        <v>684</v>
      </c>
      <c r="G867" s="16">
        <v>29.84</v>
      </c>
      <c r="H867" s="15">
        <f t="shared" si="13"/>
        <v>23</v>
      </c>
      <c r="I867" s="15">
        <v>8</v>
      </c>
      <c r="J867" s="15" t="b">
        <v>1</v>
      </c>
      <c r="K867" s="15" t="b">
        <v>1</v>
      </c>
    </row>
    <row r="868" spans="1:11" x14ac:dyDescent="0.3">
      <c r="A868" s="15" t="s">
        <v>420</v>
      </c>
      <c r="B868" s="15">
        <v>8</v>
      </c>
      <c r="C868" s="15" t="s">
        <v>530</v>
      </c>
      <c r="D868" s="15">
        <v>3</v>
      </c>
      <c r="E868" s="15">
        <v>3</v>
      </c>
      <c r="F868" s="15">
        <v>608</v>
      </c>
      <c r="G868" s="16">
        <v>29.84</v>
      </c>
      <c r="H868" s="15">
        <f t="shared" si="13"/>
        <v>21</v>
      </c>
      <c r="I868" s="15">
        <v>8</v>
      </c>
      <c r="J868" s="15" t="b">
        <v>1</v>
      </c>
      <c r="K868" s="15" t="b">
        <v>1</v>
      </c>
    </row>
    <row r="869" spans="1:11" x14ac:dyDescent="0.3">
      <c r="A869" s="15" t="s">
        <v>420</v>
      </c>
      <c r="B869" s="15">
        <v>8</v>
      </c>
      <c r="C869" s="15" t="s">
        <v>530</v>
      </c>
      <c r="D869" s="15">
        <v>4</v>
      </c>
      <c r="E869" s="15">
        <v>1</v>
      </c>
      <c r="F869" s="15">
        <v>724</v>
      </c>
      <c r="G869" s="16">
        <v>29.84</v>
      </c>
      <c r="H869" s="15">
        <f t="shared" si="13"/>
        <v>25</v>
      </c>
      <c r="I869" s="15">
        <v>7</v>
      </c>
      <c r="J869" s="15" t="b">
        <v>0</v>
      </c>
      <c r="K869" s="15" t="b">
        <v>1</v>
      </c>
    </row>
    <row r="870" spans="1:11" x14ac:dyDescent="0.3">
      <c r="A870" s="15" t="s">
        <v>420</v>
      </c>
      <c r="B870" s="15">
        <v>8</v>
      </c>
      <c r="C870" s="15" t="s">
        <v>530</v>
      </c>
      <c r="D870" s="15">
        <v>4</v>
      </c>
      <c r="E870" s="15">
        <v>2</v>
      </c>
      <c r="F870" s="15">
        <v>610</v>
      </c>
      <c r="G870" s="16">
        <v>29.84</v>
      </c>
      <c r="H870" s="15">
        <f t="shared" si="13"/>
        <v>21</v>
      </c>
      <c r="I870" s="15">
        <v>7</v>
      </c>
      <c r="J870" s="15" t="b">
        <v>0</v>
      </c>
      <c r="K870" s="15" t="b">
        <v>1</v>
      </c>
    </row>
    <row r="871" spans="1:11" x14ac:dyDescent="0.3">
      <c r="A871" s="15" t="s">
        <v>420</v>
      </c>
      <c r="B871" s="15">
        <v>8</v>
      </c>
      <c r="C871" s="15" t="s">
        <v>530</v>
      </c>
      <c r="D871" s="15">
        <v>4</v>
      </c>
      <c r="E871" s="15">
        <v>3</v>
      </c>
      <c r="F871" s="15">
        <v>600</v>
      </c>
      <c r="G871" s="16">
        <v>29.84</v>
      </c>
      <c r="H871" s="15">
        <f t="shared" si="13"/>
        <v>21</v>
      </c>
      <c r="I871" s="15">
        <v>7</v>
      </c>
      <c r="J871" s="15" t="b">
        <v>0</v>
      </c>
      <c r="K871" s="15" t="b">
        <v>1</v>
      </c>
    </row>
    <row r="872" spans="1:11" x14ac:dyDescent="0.3">
      <c r="A872" s="15" t="s">
        <v>420</v>
      </c>
      <c r="B872" s="15">
        <v>8</v>
      </c>
      <c r="C872" s="15" t="s">
        <v>530</v>
      </c>
      <c r="D872" s="15">
        <v>5</v>
      </c>
      <c r="E872" s="15">
        <v>1</v>
      </c>
      <c r="F872" s="15">
        <v>153</v>
      </c>
      <c r="G872" s="16">
        <v>29.84</v>
      </c>
      <c r="H872" s="15">
        <f t="shared" si="13"/>
        <v>6</v>
      </c>
      <c r="I872" s="15">
        <v>4</v>
      </c>
      <c r="J872" s="15" t="b">
        <v>0</v>
      </c>
      <c r="K872" s="15" t="b">
        <v>1</v>
      </c>
    </row>
    <row r="873" spans="1:11" x14ac:dyDescent="0.3">
      <c r="A873" s="15" t="s">
        <v>420</v>
      </c>
      <c r="B873" s="15">
        <v>8</v>
      </c>
      <c r="C873" s="15" t="s">
        <v>530</v>
      </c>
      <c r="D873" s="15">
        <v>5</v>
      </c>
      <c r="E873" s="15">
        <v>2</v>
      </c>
      <c r="F873" s="15">
        <v>185</v>
      </c>
      <c r="G873" s="16">
        <v>29.84</v>
      </c>
      <c r="H873" s="15">
        <f t="shared" si="13"/>
        <v>7</v>
      </c>
      <c r="I873" s="15">
        <v>4</v>
      </c>
      <c r="J873" s="15" t="b">
        <v>0</v>
      </c>
      <c r="K873" s="15" t="b">
        <v>1</v>
      </c>
    </row>
    <row r="874" spans="1:11" x14ac:dyDescent="0.3">
      <c r="A874" s="15" t="s">
        <v>420</v>
      </c>
      <c r="B874" s="15">
        <v>8</v>
      </c>
      <c r="C874" s="15" t="s">
        <v>530</v>
      </c>
      <c r="D874" s="15">
        <v>5</v>
      </c>
      <c r="E874" s="15">
        <v>3</v>
      </c>
      <c r="F874" s="15">
        <v>173</v>
      </c>
      <c r="G874" s="16">
        <v>29.84</v>
      </c>
      <c r="H874" s="15">
        <f t="shared" si="13"/>
        <v>6</v>
      </c>
      <c r="I874" s="15">
        <v>4</v>
      </c>
      <c r="J874" s="15" t="b">
        <v>0</v>
      </c>
      <c r="K874" s="15" t="b">
        <v>1</v>
      </c>
    </row>
    <row r="875" spans="1:11" x14ac:dyDescent="0.3">
      <c r="A875" s="15" t="s">
        <v>420</v>
      </c>
      <c r="B875" s="15">
        <v>8</v>
      </c>
      <c r="C875" s="15" t="s">
        <v>531</v>
      </c>
      <c r="D875" s="15">
        <v>1</v>
      </c>
      <c r="E875" s="15">
        <v>1</v>
      </c>
      <c r="F875" s="15">
        <v>158</v>
      </c>
      <c r="G875" s="16">
        <v>28.81</v>
      </c>
      <c r="H875" s="15">
        <f t="shared" si="13"/>
        <v>6</v>
      </c>
      <c r="I875" s="15">
        <v>4</v>
      </c>
      <c r="J875" s="15" t="b">
        <v>1</v>
      </c>
      <c r="K875" s="15" t="b">
        <v>1</v>
      </c>
    </row>
    <row r="876" spans="1:11" x14ac:dyDescent="0.3">
      <c r="A876" s="15" t="s">
        <v>420</v>
      </c>
      <c r="B876" s="15">
        <v>8</v>
      </c>
      <c r="C876" s="15" t="s">
        <v>531</v>
      </c>
      <c r="D876" s="15">
        <v>1</v>
      </c>
      <c r="E876" s="15">
        <v>2</v>
      </c>
      <c r="F876" s="15">
        <v>199</v>
      </c>
      <c r="G876" s="16">
        <v>28.81</v>
      </c>
      <c r="H876" s="15">
        <f t="shared" si="13"/>
        <v>7</v>
      </c>
      <c r="I876" s="15">
        <v>4</v>
      </c>
      <c r="J876" s="15" t="b">
        <v>1</v>
      </c>
      <c r="K876" s="15" t="b">
        <v>1</v>
      </c>
    </row>
    <row r="877" spans="1:11" x14ac:dyDescent="0.3">
      <c r="A877" s="15" t="s">
        <v>420</v>
      </c>
      <c r="B877" s="15">
        <v>8</v>
      </c>
      <c r="C877" s="15" t="s">
        <v>531</v>
      </c>
      <c r="D877" s="15">
        <v>1</v>
      </c>
      <c r="E877" s="15">
        <v>3</v>
      </c>
      <c r="F877" s="15">
        <v>175</v>
      </c>
      <c r="G877" s="16">
        <v>28.81</v>
      </c>
      <c r="H877" s="15">
        <f t="shared" si="13"/>
        <v>7</v>
      </c>
      <c r="I877" s="15">
        <v>4</v>
      </c>
      <c r="J877" s="15" t="b">
        <v>1</v>
      </c>
      <c r="K877" s="15" t="b">
        <v>1</v>
      </c>
    </row>
    <row r="878" spans="1:11" x14ac:dyDescent="0.3">
      <c r="A878" s="15" t="s">
        <v>420</v>
      </c>
      <c r="B878" s="15">
        <v>8</v>
      </c>
      <c r="C878" s="15" t="s">
        <v>531</v>
      </c>
      <c r="D878" s="15">
        <v>2</v>
      </c>
      <c r="E878" s="15">
        <v>1</v>
      </c>
      <c r="F878" s="15">
        <v>650</v>
      </c>
      <c r="G878" s="16">
        <v>28.81</v>
      </c>
      <c r="H878" s="15">
        <f t="shared" si="13"/>
        <v>23</v>
      </c>
      <c r="I878" s="15">
        <v>7</v>
      </c>
      <c r="J878" s="15" t="b">
        <v>1</v>
      </c>
      <c r="K878" s="15" t="b">
        <v>1</v>
      </c>
    </row>
    <row r="879" spans="1:11" x14ac:dyDescent="0.3">
      <c r="A879" s="15" t="s">
        <v>420</v>
      </c>
      <c r="B879" s="15">
        <v>8</v>
      </c>
      <c r="C879" s="15" t="s">
        <v>531</v>
      </c>
      <c r="D879" s="15">
        <v>2</v>
      </c>
      <c r="E879" s="15">
        <v>2</v>
      </c>
      <c r="F879" s="15">
        <v>613</v>
      </c>
      <c r="G879" s="16">
        <v>28.81</v>
      </c>
      <c r="H879" s="15">
        <f t="shared" si="13"/>
        <v>22</v>
      </c>
      <c r="I879" s="15">
        <v>7</v>
      </c>
      <c r="J879" s="15" t="b">
        <v>1</v>
      </c>
      <c r="K879" s="15" t="b">
        <v>1</v>
      </c>
    </row>
    <row r="880" spans="1:11" x14ac:dyDescent="0.3">
      <c r="A880" s="15" t="s">
        <v>420</v>
      </c>
      <c r="B880" s="15">
        <v>8</v>
      </c>
      <c r="C880" s="15" t="s">
        <v>531</v>
      </c>
      <c r="D880" s="15">
        <v>2</v>
      </c>
      <c r="E880" s="15">
        <v>3</v>
      </c>
      <c r="F880" s="15">
        <v>598</v>
      </c>
      <c r="G880" s="16">
        <v>28.81</v>
      </c>
      <c r="H880" s="15">
        <f t="shared" si="13"/>
        <v>21</v>
      </c>
      <c r="I880" s="15">
        <v>7</v>
      </c>
      <c r="J880" s="15" t="b">
        <v>1</v>
      </c>
      <c r="K880" s="15" t="b">
        <v>1</v>
      </c>
    </row>
    <row r="881" spans="1:11" x14ac:dyDescent="0.3">
      <c r="A881" s="15" t="s">
        <v>420</v>
      </c>
      <c r="B881" s="15">
        <v>8</v>
      </c>
      <c r="C881" s="15" t="s">
        <v>531</v>
      </c>
      <c r="D881" s="15">
        <v>3</v>
      </c>
      <c r="E881" s="15">
        <v>1</v>
      </c>
      <c r="F881" s="15">
        <v>473</v>
      </c>
      <c r="G881" s="16">
        <v>28.81</v>
      </c>
      <c r="H881" s="15">
        <f t="shared" si="13"/>
        <v>17</v>
      </c>
      <c r="I881" s="15">
        <v>5</v>
      </c>
      <c r="J881" s="15" t="b">
        <v>1</v>
      </c>
      <c r="K881" s="15" t="b">
        <v>1</v>
      </c>
    </row>
    <row r="882" spans="1:11" x14ac:dyDescent="0.3">
      <c r="A882" s="15" t="s">
        <v>420</v>
      </c>
      <c r="B882" s="15">
        <v>8</v>
      </c>
      <c r="C882" s="15" t="s">
        <v>531</v>
      </c>
      <c r="D882" s="15">
        <v>3</v>
      </c>
      <c r="E882" s="15">
        <v>2</v>
      </c>
      <c r="F882" s="15">
        <v>405</v>
      </c>
      <c r="G882" s="16">
        <v>28.81</v>
      </c>
      <c r="H882" s="15">
        <f t="shared" si="13"/>
        <v>15</v>
      </c>
      <c r="I882" s="15">
        <v>5</v>
      </c>
      <c r="J882" s="15" t="b">
        <v>1</v>
      </c>
      <c r="K882" s="15" t="b">
        <v>1</v>
      </c>
    </row>
    <row r="883" spans="1:11" x14ac:dyDescent="0.3">
      <c r="A883" s="15" t="s">
        <v>420</v>
      </c>
      <c r="B883" s="15">
        <v>8</v>
      </c>
      <c r="C883" s="15" t="s">
        <v>531</v>
      </c>
      <c r="D883" s="15">
        <v>3</v>
      </c>
      <c r="E883" s="15">
        <v>3</v>
      </c>
      <c r="F883" s="15">
        <v>346</v>
      </c>
      <c r="G883" s="16">
        <v>28.81</v>
      </c>
      <c r="H883" s="15">
        <f t="shared" si="13"/>
        <v>13</v>
      </c>
      <c r="I883" s="15">
        <v>5</v>
      </c>
      <c r="J883" s="15" t="b">
        <v>1</v>
      </c>
      <c r="K883" s="15" t="b">
        <v>1</v>
      </c>
    </row>
    <row r="884" spans="1:11" x14ac:dyDescent="0.3">
      <c r="A884" s="15" t="s">
        <v>420</v>
      </c>
      <c r="B884" s="15">
        <v>8</v>
      </c>
      <c r="C884" s="15" t="s">
        <v>531</v>
      </c>
      <c r="D884" s="15">
        <v>4</v>
      </c>
      <c r="E884" s="15">
        <v>1</v>
      </c>
      <c r="F884" s="15">
        <v>934</v>
      </c>
      <c r="G884" s="16">
        <v>28.81</v>
      </c>
      <c r="H884" s="15">
        <f t="shared" si="13"/>
        <v>33</v>
      </c>
      <c r="I884" s="15">
        <v>8</v>
      </c>
      <c r="J884" s="15" t="b">
        <v>0</v>
      </c>
      <c r="K884" s="15" t="b">
        <v>1</v>
      </c>
    </row>
    <row r="885" spans="1:11" x14ac:dyDescent="0.3">
      <c r="A885" s="15" t="s">
        <v>420</v>
      </c>
      <c r="B885" s="15">
        <v>8</v>
      </c>
      <c r="C885" s="15" t="s">
        <v>531</v>
      </c>
      <c r="D885" s="15">
        <v>4</v>
      </c>
      <c r="E885" s="15">
        <v>2</v>
      </c>
      <c r="F885" s="15">
        <v>824</v>
      </c>
      <c r="G885" s="16">
        <v>28.81</v>
      </c>
      <c r="H885" s="15">
        <f t="shared" si="13"/>
        <v>29</v>
      </c>
      <c r="I885" s="15">
        <v>8</v>
      </c>
      <c r="J885" s="15" t="b">
        <v>0</v>
      </c>
      <c r="K885" s="15" t="b">
        <v>1</v>
      </c>
    </row>
    <row r="886" spans="1:11" x14ac:dyDescent="0.3">
      <c r="A886" s="15" t="s">
        <v>420</v>
      </c>
      <c r="B886" s="15">
        <v>8</v>
      </c>
      <c r="C886" s="15" t="s">
        <v>531</v>
      </c>
      <c r="D886" s="15">
        <v>4</v>
      </c>
      <c r="E886" s="15">
        <v>3</v>
      </c>
      <c r="F886" s="15">
        <v>822</v>
      </c>
      <c r="G886" s="16">
        <v>28.81</v>
      </c>
      <c r="H886" s="15">
        <f t="shared" si="13"/>
        <v>29</v>
      </c>
      <c r="I886" s="15">
        <v>8</v>
      </c>
      <c r="J886" s="15" t="b">
        <v>0</v>
      </c>
      <c r="K886" s="15" t="b">
        <v>1</v>
      </c>
    </row>
    <row r="887" spans="1:11" x14ac:dyDescent="0.3">
      <c r="A887" s="15" t="s">
        <v>420</v>
      </c>
      <c r="B887" s="15">
        <v>8</v>
      </c>
      <c r="C887" s="15" t="s">
        <v>531</v>
      </c>
      <c r="D887" s="15">
        <v>5</v>
      </c>
      <c r="E887" s="15">
        <v>1</v>
      </c>
      <c r="F887" s="15">
        <v>591</v>
      </c>
      <c r="G887" s="16">
        <v>28.81</v>
      </c>
      <c r="H887" s="15">
        <f t="shared" si="13"/>
        <v>21</v>
      </c>
      <c r="I887" s="15">
        <v>7</v>
      </c>
      <c r="J887" s="15" t="b">
        <v>0</v>
      </c>
      <c r="K887" s="15" t="b">
        <v>1</v>
      </c>
    </row>
    <row r="888" spans="1:11" x14ac:dyDescent="0.3">
      <c r="A888" s="15" t="s">
        <v>420</v>
      </c>
      <c r="B888" s="15">
        <v>8</v>
      </c>
      <c r="C888" s="15" t="s">
        <v>531</v>
      </c>
      <c r="D888" s="15">
        <v>5</v>
      </c>
      <c r="E888" s="15">
        <v>2</v>
      </c>
      <c r="F888" s="15">
        <v>571</v>
      </c>
      <c r="G888" s="16">
        <v>28.81</v>
      </c>
      <c r="H888" s="15">
        <f t="shared" si="13"/>
        <v>20</v>
      </c>
      <c r="I888" s="15">
        <v>7</v>
      </c>
      <c r="J888" s="15" t="b">
        <v>0</v>
      </c>
      <c r="K888" s="15" t="b">
        <v>1</v>
      </c>
    </row>
    <row r="889" spans="1:11" x14ac:dyDescent="0.3">
      <c r="A889" s="15" t="s">
        <v>420</v>
      </c>
      <c r="B889" s="15">
        <v>8</v>
      </c>
      <c r="C889" s="15" t="s">
        <v>531</v>
      </c>
      <c r="D889" s="15">
        <v>5</v>
      </c>
      <c r="E889" s="15">
        <v>3</v>
      </c>
      <c r="F889" s="15">
        <v>577</v>
      </c>
      <c r="G889" s="16">
        <v>28.81</v>
      </c>
      <c r="H889" s="15">
        <f t="shared" si="13"/>
        <v>21</v>
      </c>
      <c r="I889" s="15">
        <v>7</v>
      </c>
      <c r="J889" s="15" t="b">
        <v>0</v>
      </c>
      <c r="K889" s="15" t="b">
        <v>1</v>
      </c>
    </row>
    <row r="890" spans="1:11" x14ac:dyDescent="0.3">
      <c r="A890" s="15" t="s">
        <v>421</v>
      </c>
      <c r="B890" s="15">
        <v>9</v>
      </c>
      <c r="C890" s="15" t="s">
        <v>532</v>
      </c>
      <c r="D890" s="15">
        <v>1</v>
      </c>
      <c r="E890" s="15">
        <v>1</v>
      </c>
      <c r="F890" s="15">
        <v>3956</v>
      </c>
      <c r="G890" s="16">
        <v>30.05</v>
      </c>
      <c r="H890" s="15">
        <f t="shared" si="13"/>
        <v>132</v>
      </c>
      <c r="I890" s="15">
        <v>44</v>
      </c>
      <c r="J890" s="15" t="b">
        <v>1</v>
      </c>
      <c r="K890" s="15" t="b">
        <v>1</v>
      </c>
    </row>
    <row r="891" spans="1:11" x14ac:dyDescent="0.3">
      <c r="A891" s="15" t="s">
        <v>421</v>
      </c>
      <c r="B891" s="15">
        <v>9</v>
      </c>
      <c r="C891" s="15" t="s">
        <v>532</v>
      </c>
      <c r="D891" s="15">
        <v>1</v>
      </c>
      <c r="E891" s="15">
        <v>2</v>
      </c>
      <c r="F891" s="15">
        <v>4065</v>
      </c>
      <c r="G891" s="16">
        <v>30.05</v>
      </c>
      <c r="H891" s="15">
        <f t="shared" si="13"/>
        <v>136</v>
      </c>
      <c r="I891" s="15">
        <v>44</v>
      </c>
      <c r="J891" s="15" t="b">
        <v>1</v>
      </c>
      <c r="K891" s="15" t="b">
        <v>1</v>
      </c>
    </row>
    <row r="892" spans="1:11" x14ac:dyDescent="0.3">
      <c r="A892" s="15" t="s">
        <v>421</v>
      </c>
      <c r="B892" s="15">
        <v>9</v>
      </c>
      <c r="C892" s="15" t="s">
        <v>532</v>
      </c>
      <c r="D892" s="15">
        <v>1</v>
      </c>
      <c r="E892" s="15">
        <v>3</v>
      </c>
      <c r="F892" s="15">
        <v>3967</v>
      </c>
      <c r="G892" s="16">
        <v>30.05</v>
      </c>
      <c r="H892" s="15">
        <f t="shared" si="13"/>
        <v>133</v>
      </c>
      <c r="I892" s="15">
        <v>44</v>
      </c>
      <c r="J892" s="15" t="b">
        <v>1</v>
      </c>
      <c r="K892" s="15" t="b">
        <v>1</v>
      </c>
    </row>
    <row r="893" spans="1:11" x14ac:dyDescent="0.3">
      <c r="A893" s="15" t="s">
        <v>421</v>
      </c>
      <c r="B893" s="15">
        <v>9</v>
      </c>
      <c r="C893" s="15" t="s">
        <v>532</v>
      </c>
      <c r="D893" s="15">
        <v>2</v>
      </c>
      <c r="E893" s="15">
        <v>1</v>
      </c>
      <c r="F893" s="15">
        <v>1864</v>
      </c>
      <c r="G893" s="16">
        <v>30.05</v>
      </c>
      <c r="H893" s="15">
        <f t="shared" si="13"/>
        <v>63</v>
      </c>
      <c r="I893" s="15">
        <v>19</v>
      </c>
      <c r="J893" s="15" t="b">
        <v>1</v>
      </c>
      <c r="K893" s="15" t="b">
        <v>1</v>
      </c>
    </row>
    <row r="894" spans="1:11" x14ac:dyDescent="0.3">
      <c r="A894" s="15" t="s">
        <v>421</v>
      </c>
      <c r="B894" s="15">
        <v>9</v>
      </c>
      <c r="C894" s="15" t="s">
        <v>532</v>
      </c>
      <c r="D894" s="15">
        <v>2</v>
      </c>
      <c r="E894" s="15">
        <v>2</v>
      </c>
      <c r="F894" s="15">
        <v>2037</v>
      </c>
      <c r="G894" s="16">
        <v>30.05</v>
      </c>
      <c r="H894" s="15">
        <f t="shared" si="13"/>
        <v>68</v>
      </c>
      <c r="I894" s="15">
        <v>19</v>
      </c>
      <c r="J894" s="15" t="b">
        <v>1</v>
      </c>
      <c r="K894" s="15" t="b">
        <v>1</v>
      </c>
    </row>
    <row r="895" spans="1:11" x14ac:dyDescent="0.3">
      <c r="A895" s="15" t="s">
        <v>421</v>
      </c>
      <c r="B895" s="15">
        <v>9</v>
      </c>
      <c r="C895" s="15" t="s">
        <v>532</v>
      </c>
      <c r="D895" s="15">
        <v>2</v>
      </c>
      <c r="E895" s="15">
        <v>3</v>
      </c>
      <c r="F895" s="15">
        <v>1924</v>
      </c>
      <c r="G895" s="16">
        <v>30.05</v>
      </c>
      <c r="H895" s="15">
        <f t="shared" si="13"/>
        <v>65</v>
      </c>
      <c r="I895" s="15">
        <v>19</v>
      </c>
      <c r="J895" s="15" t="b">
        <v>1</v>
      </c>
      <c r="K895" s="15" t="b">
        <v>1</v>
      </c>
    </row>
    <row r="896" spans="1:11" x14ac:dyDescent="0.3">
      <c r="A896" s="15" t="s">
        <v>421</v>
      </c>
      <c r="B896" s="15">
        <v>9</v>
      </c>
      <c r="C896" s="15" t="s">
        <v>532</v>
      </c>
      <c r="D896" s="15">
        <v>3</v>
      </c>
      <c r="E896" s="15">
        <v>1</v>
      </c>
      <c r="F896" s="15">
        <v>1298</v>
      </c>
      <c r="G896" s="16">
        <v>30.05</v>
      </c>
      <c r="H896" s="15">
        <f t="shared" si="13"/>
        <v>44</v>
      </c>
      <c r="I896" s="15">
        <v>15</v>
      </c>
      <c r="J896" s="15" t="b">
        <v>1</v>
      </c>
      <c r="K896" s="15" t="b">
        <v>1</v>
      </c>
    </row>
    <row r="897" spans="1:11" x14ac:dyDescent="0.3">
      <c r="A897" s="15" t="s">
        <v>421</v>
      </c>
      <c r="B897" s="15">
        <v>9</v>
      </c>
      <c r="C897" s="15" t="s">
        <v>532</v>
      </c>
      <c r="D897" s="15">
        <v>3</v>
      </c>
      <c r="E897" s="15">
        <v>2</v>
      </c>
      <c r="F897" s="15">
        <v>1419</v>
      </c>
      <c r="G897" s="16">
        <v>30.05</v>
      </c>
      <c r="H897" s="15">
        <f t="shared" si="13"/>
        <v>48</v>
      </c>
      <c r="I897" s="15">
        <v>15</v>
      </c>
      <c r="J897" s="15" t="b">
        <v>1</v>
      </c>
      <c r="K897" s="15" t="b">
        <v>1</v>
      </c>
    </row>
    <row r="898" spans="1:11" x14ac:dyDescent="0.3">
      <c r="A898" s="15" t="s">
        <v>421</v>
      </c>
      <c r="B898" s="15">
        <v>9</v>
      </c>
      <c r="C898" s="15" t="s">
        <v>532</v>
      </c>
      <c r="D898" s="15">
        <v>3</v>
      </c>
      <c r="E898" s="15">
        <v>3</v>
      </c>
      <c r="F898" s="15">
        <v>1332</v>
      </c>
      <c r="G898" s="16">
        <v>30.05</v>
      </c>
      <c r="H898" s="15">
        <f t="shared" si="13"/>
        <v>45</v>
      </c>
      <c r="I898" s="15">
        <v>15</v>
      </c>
      <c r="J898" s="15" t="b">
        <v>1</v>
      </c>
      <c r="K898" s="15" t="b">
        <v>1</v>
      </c>
    </row>
    <row r="899" spans="1:11" x14ac:dyDescent="0.3">
      <c r="A899" s="15" t="s">
        <v>421</v>
      </c>
      <c r="B899" s="15">
        <v>9</v>
      </c>
      <c r="C899" s="15" t="s">
        <v>532</v>
      </c>
      <c r="D899" s="15">
        <v>4</v>
      </c>
      <c r="E899" s="15">
        <v>1</v>
      </c>
      <c r="F899" s="15">
        <v>2032</v>
      </c>
      <c r="G899" s="16">
        <v>30.05</v>
      </c>
      <c r="H899" s="15">
        <f t="shared" ref="H899:H962" si="14">ROUNDUP(F899/G899,0)</f>
        <v>68</v>
      </c>
      <c r="I899" s="15">
        <v>20</v>
      </c>
      <c r="J899" s="15" t="b">
        <v>0</v>
      </c>
      <c r="K899" s="15" t="b">
        <v>1</v>
      </c>
    </row>
    <row r="900" spans="1:11" x14ac:dyDescent="0.3">
      <c r="A900" s="15" t="s">
        <v>421</v>
      </c>
      <c r="B900" s="15">
        <v>9</v>
      </c>
      <c r="C900" s="15" t="s">
        <v>532</v>
      </c>
      <c r="D900" s="15">
        <v>4</v>
      </c>
      <c r="E900" s="15">
        <v>2</v>
      </c>
      <c r="F900" s="15">
        <v>2057</v>
      </c>
      <c r="G900" s="16">
        <v>30.05</v>
      </c>
      <c r="H900" s="15">
        <f t="shared" si="14"/>
        <v>69</v>
      </c>
      <c r="I900" s="15">
        <v>20</v>
      </c>
      <c r="J900" s="15" t="b">
        <v>0</v>
      </c>
      <c r="K900" s="15" t="b">
        <v>1</v>
      </c>
    </row>
    <row r="901" spans="1:11" x14ac:dyDescent="0.3">
      <c r="A901" s="15" t="s">
        <v>421</v>
      </c>
      <c r="B901" s="15">
        <v>9</v>
      </c>
      <c r="C901" s="15" t="s">
        <v>532</v>
      </c>
      <c r="D901" s="15">
        <v>4</v>
      </c>
      <c r="E901" s="15">
        <v>3</v>
      </c>
      <c r="F901" s="15">
        <v>1972</v>
      </c>
      <c r="G901" s="16">
        <v>30.05</v>
      </c>
      <c r="H901" s="15">
        <f t="shared" si="14"/>
        <v>66</v>
      </c>
      <c r="I901" s="15">
        <v>20</v>
      </c>
      <c r="J901" s="15" t="b">
        <v>0</v>
      </c>
      <c r="K901" s="15" t="b">
        <v>1</v>
      </c>
    </row>
    <row r="902" spans="1:11" x14ac:dyDescent="0.3">
      <c r="A902" s="15" t="s">
        <v>421</v>
      </c>
      <c r="B902" s="15">
        <v>9</v>
      </c>
      <c r="C902" s="15" t="s">
        <v>532</v>
      </c>
      <c r="D902" s="15">
        <v>5</v>
      </c>
      <c r="E902" s="15">
        <v>1</v>
      </c>
      <c r="F902" s="15">
        <v>2522</v>
      </c>
      <c r="G902" s="16">
        <v>30.05</v>
      </c>
      <c r="H902" s="15">
        <f t="shared" si="14"/>
        <v>84</v>
      </c>
      <c r="I902" s="15">
        <v>33</v>
      </c>
      <c r="J902" s="15" t="b">
        <v>0</v>
      </c>
      <c r="K902" s="15" t="b">
        <v>1</v>
      </c>
    </row>
    <row r="903" spans="1:11" x14ac:dyDescent="0.3">
      <c r="A903" s="15" t="s">
        <v>421</v>
      </c>
      <c r="B903" s="15">
        <v>9</v>
      </c>
      <c r="C903" s="15" t="s">
        <v>532</v>
      </c>
      <c r="D903" s="15">
        <v>5</v>
      </c>
      <c r="E903" s="15">
        <v>2</v>
      </c>
      <c r="F903" s="15">
        <v>2616</v>
      </c>
      <c r="G903" s="16">
        <v>30.05</v>
      </c>
      <c r="H903" s="15">
        <f t="shared" si="14"/>
        <v>88</v>
      </c>
      <c r="I903" s="15">
        <v>33</v>
      </c>
      <c r="J903" s="15" t="b">
        <v>0</v>
      </c>
      <c r="K903" s="15" t="b">
        <v>1</v>
      </c>
    </row>
    <row r="904" spans="1:11" x14ac:dyDescent="0.3">
      <c r="A904" s="15" t="s">
        <v>421</v>
      </c>
      <c r="B904" s="15">
        <v>9</v>
      </c>
      <c r="C904" s="15" t="s">
        <v>532</v>
      </c>
      <c r="D904" s="15">
        <v>5</v>
      </c>
      <c r="E904" s="15">
        <v>3</v>
      </c>
      <c r="F904" s="15">
        <v>2668</v>
      </c>
      <c r="G904" s="16">
        <v>30.05</v>
      </c>
      <c r="H904" s="15">
        <f t="shared" si="14"/>
        <v>89</v>
      </c>
      <c r="I904" s="15">
        <v>33</v>
      </c>
      <c r="J904" s="15" t="b">
        <v>0</v>
      </c>
      <c r="K904" s="15" t="b">
        <v>1</v>
      </c>
    </row>
    <row r="905" spans="1:11" x14ac:dyDescent="0.3">
      <c r="A905" s="15" t="s">
        <v>421</v>
      </c>
      <c r="B905" s="15">
        <v>9</v>
      </c>
      <c r="C905" s="15" t="s">
        <v>533</v>
      </c>
      <c r="D905" s="15">
        <v>1</v>
      </c>
      <c r="E905" s="15">
        <v>1</v>
      </c>
      <c r="F905" s="15">
        <v>1963</v>
      </c>
      <c r="G905" s="16">
        <v>31.3</v>
      </c>
      <c r="H905" s="15">
        <f t="shared" si="14"/>
        <v>63</v>
      </c>
      <c r="I905" s="15">
        <v>21</v>
      </c>
      <c r="J905" s="15" t="b">
        <v>1</v>
      </c>
      <c r="K905" s="15" t="b">
        <v>1</v>
      </c>
    </row>
    <row r="906" spans="1:11" x14ac:dyDescent="0.3">
      <c r="A906" s="15" t="s">
        <v>421</v>
      </c>
      <c r="B906" s="15">
        <v>9</v>
      </c>
      <c r="C906" s="15" t="s">
        <v>533</v>
      </c>
      <c r="D906" s="15">
        <v>1</v>
      </c>
      <c r="E906" s="15">
        <v>2</v>
      </c>
      <c r="F906" s="15">
        <v>2057</v>
      </c>
      <c r="G906" s="16">
        <v>31.3</v>
      </c>
      <c r="H906" s="15">
        <f t="shared" si="14"/>
        <v>66</v>
      </c>
      <c r="I906" s="15">
        <v>21</v>
      </c>
      <c r="J906" s="15" t="b">
        <v>1</v>
      </c>
      <c r="K906" s="15" t="b">
        <v>1</v>
      </c>
    </row>
    <row r="907" spans="1:11" x14ac:dyDescent="0.3">
      <c r="A907" s="15" t="s">
        <v>421</v>
      </c>
      <c r="B907" s="15">
        <v>9</v>
      </c>
      <c r="C907" s="15" t="s">
        <v>533</v>
      </c>
      <c r="D907" s="15">
        <v>1</v>
      </c>
      <c r="E907" s="15">
        <v>3</v>
      </c>
      <c r="F907" s="15">
        <v>2166</v>
      </c>
      <c r="G907" s="16">
        <v>31.3</v>
      </c>
      <c r="H907" s="15">
        <f t="shared" si="14"/>
        <v>70</v>
      </c>
      <c r="I907" s="15">
        <v>21</v>
      </c>
      <c r="J907" s="15" t="b">
        <v>1</v>
      </c>
      <c r="K907" s="15" t="b">
        <v>1</v>
      </c>
    </row>
    <row r="908" spans="1:11" x14ac:dyDescent="0.3">
      <c r="A908" s="15" t="s">
        <v>421</v>
      </c>
      <c r="B908" s="15">
        <v>9</v>
      </c>
      <c r="C908" s="15" t="s">
        <v>533</v>
      </c>
      <c r="D908" s="15">
        <v>2</v>
      </c>
      <c r="E908" s="15">
        <v>1</v>
      </c>
      <c r="F908" s="15">
        <v>2659</v>
      </c>
      <c r="G908" s="16">
        <v>31.3</v>
      </c>
      <c r="H908" s="15">
        <f t="shared" si="14"/>
        <v>85</v>
      </c>
      <c r="I908" s="15">
        <v>20</v>
      </c>
      <c r="J908" s="15" t="b">
        <v>1</v>
      </c>
      <c r="K908" s="15" t="b">
        <v>1</v>
      </c>
    </row>
    <row r="909" spans="1:11" x14ac:dyDescent="0.3">
      <c r="A909" s="15" t="s">
        <v>421</v>
      </c>
      <c r="B909" s="15">
        <v>9</v>
      </c>
      <c r="C909" s="15" t="s">
        <v>533</v>
      </c>
      <c r="D909" s="15">
        <v>2</v>
      </c>
      <c r="E909" s="15">
        <v>2</v>
      </c>
      <c r="F909" s="15">
        <v>2925</v>
      </c>
      <c r="G909" s="16">
        <v>31.3</v>
      </c>
      <c r="H909" s="15">
        <f t="shared" si="14"/>
        <v>94</v>
      </c>
      <c r="I909" s="15">
        <v>20</v>
      </c>
      <c r="J909" s="15" t="b">
        <v>1</v>
      </c>
      <c r="K909" s="15" t="b">
        <v>1</v>
      </c>
    </row>
    <row r="910" spans="1:11" x14ac:dyDescent="0.3">
      <c r="A910" s="15" t="s">
        <v>421</v>
      </c>
      <c r="B910" s="15">
        <v>9</v>
      </c>
      <c r="C910" s="15" t="s">
        <v>533</v>
      </c>
      <c r="D910" s="15">
        <v>2</v>
      </c>
      <c r="E910" s="15">
        <v>3</v>
      </c>
      <c r="F910" s="15">
        <v>2996</v>
      </c>
      <c r="G910" s="16">
        <v>31.3</v>
      </c>
      <c r="H910" s="15">
        <f t="shared" si="14"/>
        <v>96</v>
      </c>
      <c r="I910" s="15">
        <v>20</v>
      </c>
      <c r="J910" s="15" t="b">
        <v>1</v>
      </c>
      <c r="K910" s="15" t="b">
        <v>1</v>
      </c>
    </row>
    <row r="911" spans="1:11" x14ac:dyDescent="0.3">
      <c r="A911" s="15" t="s">
        <v>421</v>
      </c>
      <c r="B911" s="15">
        <v>9</v>
      </c>
      <c r="C911" s="15" t="s">
        <v>533</v>
      </c>
      <c r="D911" s="15">
        <v>3</v>
      </c>
      <c r="E911" s="15">
        <v>1</v>
      </c>
      <c r="F911" s="15">
        <v>2246</v>
      </c>
      <c r="G911" s="16">
        <v>31.3</v>
      </c>
      <c r="H911" s="15">
        <f t="shared" si="14"/>
        <v>72</v>
      </c>
      <c r="I911" s="15">
        <v>18</v>
      </c>
      <c r="J911" s="15" t="b">
        <v>1</v>
      </c>
      <c r="K911" s="15" t="b">
        <v>1</v>
      </c>
    </row>
    <row r="912" spans="1:11" x14ac:dyDescent="0.3">
      <c r="A912" s="15" t="s">
        <v>421</v>
      </c>
      <c r="B912" s="15">
        <v>9</v>
      </c>
      <c r="C912" s="15" t="s">
        <v>533</v>
      </c>
      <c r="D912" s="15">
        <v>3</v>
      </c>
      <c r="E912" s="15">
        <v>2</v>
      </c>
      <c r="F912" s="15">
        <v>2461</v>
      </c>
      <c r="G912" s="16">
        <v>31.3</v>
      </c>
      <c r="H912" s="15">
        <f t="shared" si="14"/>
        <v>79</v>
      </c>
      <c r="I912" s="15">
        <v>18</v>
      </c>
      <c r="J912" s="15" t="b">
        <v>1</v>
      </c>
      <c r="K912" s="15" t="b">
        <v>1</v>
      </c>
    </row>
    <row r="913" spans="1:11" x14ac:dyDescent="0.3">
      <c r="A913" s="15" t="s">
        <v>421</v>
      </c>
      <c r="B913" s="15">
        <v>9</v>
      </c>
      <c r="C913" s="15" t="s">
        <v>533</v>
      </c>
      <c r="D913" s="15">
        <v>3</v>
      </c>
      <c r="E913" s="15">
        <v>3</v>
      </c>
      <c r="F913" s="15">
        <v>2500</v>
      </c>
      <c r="G913" s="16">
        <v>31.3</v>
      </c>
      <c r="H913" s="15">
        <f t="shared" si="14"/>
        <v>80</v>
      </c>
      <c r="I913" s="15">
        <v>18</v>
      </c>
      <c r="J913" s="15" t="b">
        <v>1</v>
      </c>
      <c r="K913" s="15" t="b">
        <v>1</v>
      </c>
    </row>
    <row r="914" spans="1:11" x14ac:dyDescent="0.3">
      <c r="A914" s="15" t="s">
        <v>421</v>
      </c>
      <c r="B914" s="15">
        <v>9</v>
      </c>
      <c r="C914" s="15" t="s">
        <v>533</v>
      </c>
      <c r="D914" s="15">
        <v>4</v>
      </c>
      <c r="E914" s="15">
        <v>1</v>
      </c>
      <c r="F914" s="15">
        <v>1523</v>
      </c>
      <c r="G914" s="16">
        <v>31.3</v>
      </c>
      <c r="H914" s="15">
        <f t="shared" si="14"/>
        <v>49</v>
      </c>
      <c r="I914" s="15">
        <v>14</v>
      </c>
      <c r="J914" s="15" t="b">
        <v>0</v>
      </c>
      <c r="K914" s="15" t="b">
        <v>1</v>
      </c>
    </row>
    <row r="915" spans="1:11" x14ac:dyDescent="0.3">
      <c r="A915" s="15" t="s">
        <v>421</v>
      </c>
      <c r="B915" s="15">
        <v>9</v>
      </c>
      <c r="C915" s="15" t="s">
        <v>533</v>
      </c>
      <c r="D915" s="15">
        <v>4</v>
      </c>
      <c r="E915" s="15">
        <v>2</v>
      </c>
      <c r="F915" s="15">
        <v>1660</v>
      </c>
      <c r="G915" s="16">
        <v>31.3</v>
      </c>
      <c r="H915" s="15">
        <f t="shared" si="14"/>
        <v>54</v>
      </c>
      <c r="I915" s="15">
        <v>14</v>
      </c>
      <c r="J915" s="15" t="b">
        <v>0</v>
      </c>
      <c r="K915" s="15" t="b">
        <v>1</v>
      </c>
    </row>
    <row r="916" spans="1:11" x14ac:dyDescent="0.3">
      <c r="A916" s="15" t="s">
        <v>421</v>
      </c>
      <c r="B916" s="15">
        <v>9</v>
      </c>
      <c r="C916" s="15" t="s">
        <v>533</v>
      </c>
      <c r="D916" s="15">
        <v>4</v>
      </c>
      <c r="E916" s="15">
        <v>3</v>
      </c>
      <c r="F916" s="15">
        <v>1626</v>
      </c>
      <c r="G916" s="16">
        <v>31.3</v>
      </c>
      <c r="H916" s="15">
        <f t="shared" si="14"/>
        <v>52</v>
      </c>
      <c r="I916" s="15">
        <v>14</v>
      </c>
      <c r="J916" s="15" t="b">
        <v>0</v>
      </c>
      <c r="K916" s="15" t="b">
        <v>1</v>
      </c>
    </row>
    <row r="917" spans="1:11" x14ac:dyDescent="0.3">
      <c r="A917" s="15" t="s">
        <v>421</v>
      </c>
      <c r="B917" s="15">
        <v>9</v>
      </c>
      <c r="C917" s="15" t="s">
        <v>533</v>
      </c>
      <c r="D917" s="15">
        <v>5</v>
      </c>
      <c r="E917" s="15">
        <v>1</v>
      </c>
      <c r="F917" s="15">
        <v>1570</v>
      </c>
      <c r="G917" s="16">
        <v>31.3</v>
      </c>
      <c r="H917" s="15">
        <f t="shared" si="14"/>
        <v>51</v>
      </c>
      <c r="I917" s="15">
        <v>23</v>
      </c>
      <c r="J917" s="15" t="b">
        <v>0</v>
      </c>
      <c r="K917" s="15" t="b">
        <v>1</v>
      </c>
    </row>
    <row r="918" spans="1:11" x14ac:dyDescent="0.3">
      <c r="A918" s="15" t="s">
        <v>421</v>
      </c>
      <c r="B918" s="15">
        <v>9</v>
      </c>
      <c r="C918" s="15" t="s">
        <v>533</v>
      </c>
      <c r="D918" s="15">
        <v>5</v>
      </c>
      <c r="E918" s="15">
        <v>2</v>
      </c>
      <c r="F918" s="15">
        <v>1574</v>
      </c>
      <c r="G918" s="16">
        <v>31.3</v>
      </c>
      <c r="H918" s="15">
        <f t="shared" si="14"/>
        <v>51</v>
      </c>
      <c r="I918" s="15">
        <v>23</v>
      </c>
      <c r="J918" s="15" t="b">
        <v>0</v>
      </c>
      <c r="K918" s="15" t="b">
        <v>1</v>
      </c>
    </row>
    <row r="919" spans="1:11" x14ac:dyDescent="0.3">
      <c r="A919" s="15" t="s">
        <v>421</v>
      </c>
      <c r="B919" s="15">
        <v>9</v>
      </c>
      <c r="C919" s="15" t="s">
        <v>533</v>
      </c>
      <c r="D919" s="15">
        <v>5</v>
      </c>
      <c r="E919" s="15">
        <v>3</v>
      </c>
      <c r="F919" s="15">
        <v>1670</v>
      </c>
      <c r="G919" s="16">
        <v>31.3</v>
      </c>
      <c r="H919" s="15">
        <f t="shared" si="14"/>
        <v>54</v>
      </c>
      <c r="I919" s="15">
        <v>23</v>
      </c>
      <c r="J919" s="15" t="b">
        <v>0</v>
      </c>
      <c r="K919" s="15" t="b">
        <v>1</v>
      </c>
    </row>
    <row r="920" spans="1:11" x14ac:dyDescent="0.3">
      <c r="A920" s="15" t="s">
        <v>421</v>
      </c>
      <c r="B920" s="15">
        <v>9</v>
      </c>
      <c r="C920" s="15" t="s">
        <v>534</v>
      </c>
      <c r="D920" s="15">
        <v>2</v>
      </c>
      <c r="E920" s="15">
        <v>1</v>
      </c>
      <c r="F920" s="15">
        <v>231</v>
      </c>
      <c r="G920" s="16">
        <v>30.66</v>
      </c>
      <c r="H920" s="15">
        <f t="shared" si="14"/>
        <v>8</v>
      </c>
      <c r="I920" s="15">
        <v>2</v>
      </c>
      <c r="J920" s="15" t="b">
        <v>1</v>
      </c>
      <c r="K920" s="15" t="b">
        <v>1</v>
      </c>
    </row>
    <row r="921" spans="1:11" x14ac:dyDescent="0.3">
      <c r="A921" s="15" t="s">
        <v>421</v>
      </c>
      <c r="B921" s="15">
        <v>9</v>
      </c>
      <c r="C921" s="15" t="s">
        <v>534</v>
      </c>
      <c r="D921" s="15">
        <v>2</v>
      </c>
      <c r="E921" s="15">
        <v>2</v>
      </c>
      <c r="F921" s="15">
        <v>255</v>
      </c>
      <c r="G921" s="16">
        <v>30.66</v>
      </c>
      <c r="H921" s="15">
        <f t="shared" si="14"/>
        <v>9</v>
      </c>
      <c r="I921" s="15">
        <v>2</v>
      </c>
      <c r="J921" s="15" t="b">
        <v>1</v>
      </c>
      <c r="K921" s="15" t="b">
        <v>1</v>
      </c>
    </row>
    <row r="922" spans="1:11" x14ac:dyDescent="0.3">
      <c r="A922" s="15" t="s">
        <v>421</v>
      </c>
      <c r="B922" s="15">
        <v>9</v>
      </c>
      <c r="C922" s="15" t="s">
        <v>534</v>
      </c>
      <c r="D922" s="15">
        <v>2</v>
      </c>
      <c r="E922" s="15">
        <v>3</v>
      </c>
      <c r="F922" s="15">
        <v>244</v>
      </c>
      <c r="G922" s="16">
        <v>30.66</v>
      </c>
      <c r="H922" s="15">
        <f t="shared" si="14"/>
        <v>8</v>
      </c>
      <c r="I922" s="15">
        <v>2</v>
      </c>
      <c r="J922" s="15" t="b">
        <v>1</v>
      </c>
      <c r="K922" s="15" t="b">
        <v>1</v>
      </c>
    </row>
    <row r="923" spans="1:11" x14ac:dyDescent="0.3">
      <c r="A923" s="15" t="s">
        <v>421</v>
      </c>
      <c r="B923" s="15">
        <v>9</v>
      </c>
      <c r="C923" s="15" t="s">
        <v>534</v>
      </c>
      <c r="D923" s="15">
        <v>3</v>
      </c>
      <c r="E923" s="15">
        <v>1</v>
      </c>
      <c r="F923" s="15">
        <v>1725</v>
      </c>
      <c r="G923" s="16">
        <v>30.66</v>
      </c>
      <c r="H923" s="15">
        <f t="shared" si="14"/>
        <v>57</v>
      </c>
      <c r="I923" s="15">
        <v>18</v>
      </c>
      <c r="J923" s="15" t="b">
        <v>1</v>
      </c>
      <c r="K923" s="15" t="b">
        <v>1</v>
      </c>
    </row>
    <row r="924" spans="1:11" x14ac:dyDescent="0.3">
      <c r="A924" s="15" t="s">
        <v>421</v>
      </c>
      <c r="B924" s="15">
        <v>9</v>
      </c>
      <c r="C924" s="15" t="s">
        <v>534</v>
      </c>
      <c r="D924" s="15">
        <v>3</v>
      </c>
      <c r="E924" s="15">
        <v>2</v>
      </c>
      <c r="F924" s="15">
        <v>1772</v>
      </c>
      <c r="G924" s="16">
        <v>30.66</v>
      </c>
      <c r="H924" s="15">
        <f t="shared" si="14"/>
        <v>58</v>
      </c>
      <c r="I924" s="15">
        <v>18</v>
      </c>
      <c r="J924" s="15" t="b">
        <v>1</v>
      </c>
      <c r="K924" s="15" t="b">
        <v>1</v>
      </c>
    </row>
    <row r="925" spans="1:11" x14ac:dyDescent="0.3">
      <c r="A925" s="15" t="s">
        <v>421</v>
      </c>
      <c r="B925" s="15">
        <v>9</v>
      </c>
      <c r="C925" s="15" t="s">
        <v>534</v>
      </c>
      <c r="D925" s="15">
        <v>3</v>
      </c>
      <c r="E925" s="15">
        <v>3</v>
      </c>
      <c r="F925" s="15">
        <v>1846</v>
      </c>
      <c r="G925" s="16">
        <v>30.66</v>
      </c>
      <c r="H925" s="15">
        <f t="shared" si="14"/>
        <v>61</v>
      </c>
      <c r="I925" s="15">
        <v>18</v>
      </c>
      <c r="J925" s="15" t="b">
        <v>1</v>
      </c>
      <c r="K925" s="15" t="b">
        <v>1</v>
      </c>
    </row>
    <row r="926" spans="1:11" x14ac:dyDescent="0.3">
      <c r="A926" s="15" t="s">
        <v>421</v>
      </c>
      <c r="B926" s="15">
        <v>9</v>
      </c>
      <c r="C926" s="15" t="s">
        <v>534</v>
      </c>
      <c r="D926" s="15">
        <v>4</v>
      </c>
      <c r="E926" s="15">
        <v>1</v>
      </c>
      <c r="F926" s="15">
        <v>5081</v>
      </c>
      <c r="G926" s="16">
        <v>30.66</v>
      </c>
      <c r="H926" s="15">
        <f t="shared" si="14"/>
        <v>166</v>
      </c>
      <c r="I926" s="15">
        <v>55</v>
      </c>
      <c r="J926" s="15" t="b">
        <v>0</v>
      </c>
      <c r="K926" s="15" t="b">
        <v>1</v>
      </c>
    </row>
    <row r="927" spans="1:11" x14ac:dyDescent="0.3">
      <c r="A927" s="15" t="s">
        <v>421</v>
      </c>
      <c r="B927" s="15">
        <v>9</v>
      </c>
      <c r="C927" s="15" t="s">
        <v>534</v>
      </c>
      <c r="D927" s="15">
        <v>4</v>
      </c>
      <c r="E927" s="15">
        <v>2</v>
      </c>
      <c r="F927" s="15">
        <v>5227</v>
      </c>
      <c r="G927" s="16">
        <v>30.66</v>
      </c>
      <c r="H927" s="15">
        <f t="shared" si="14"/>
        <v>171</v>
      </c>
      <c r="I927" s="15">
        <v>55</v>
      </c>
      <c r="J927" s="15" t="b">
        <v>0</v>
      </c>
      <c r="K927" s="15" t="b">
        <v>1</v>
      </c>
    </row>
    <row r="928" spans="1:11" x14ac:dyDescent="0.3">
      <c r="A928" s="15" t="s">
        <v>421</v>
      </c>
      <c r="B928" s="15">
        <v>9</v>
      </c>
      <c r="C928" s="15" t="s">
        <v>534</v>
      </c>
      <c r="D928" s="15">
        <v>4</v>
      </c>
      <c r="E928" s="15">
        <v>3</v>
      </c>
      <c r="F928" s="15">
        <v>5112</v>
      </c>
      <c r="G928" s="16">
        <v>30.66</v>
      </c>
      <c r="H928" s="15">
        <f t="shared" si="14"/>
        <v>167</v>
      </c>
      <c r="I928" s="15">
        <v>55</v>
      </c>
      <c r="J928" s="15" t="b">
        <v>0</v>
      </c>
      <c r="K928" s="15" t="b">
        <v>1</v>
      </c>
    </row>
    <row r="929" spans="1:11" x14ac:dyDescent="0.3">
      <c r="A929" s="15" t="s">
        <v>421</v>
      </c>
      <c r="B929" s="15">
        <v>9</v>
      </c>
      <c r="C929" s="15" t="s">
        <v>534</v>
      </c>
      <c r="D929" s="15">
        <v>5</v>
      </c>
      <c r="E929" s="15">
        <v>1</v>
      </c>
      <c r="F929" s="15">
        <v>5187</v>
      </c>
      <c r="G929" s="16">
        <v>30.66</v>
      </c>
      <c r="H929" s="15">
        <f t="shared" si="14"/>
        <v>170</v>
      </c>
      <c r="I929" s="15">
        <v>66</v>
      </c>
      <c r="J929" s="15" t="b">
        <v>0</v>
      </c>
      <c r="K929" s="15" t="b">
        <v>1</v>
      </c>
    </row>
    <row r="930" spans="1:11" x14ac:dyDescent="0.3">
      <c r="A930" s="15" t="s">
        <v>421</v>
      </c>
      <c r="B930" s="15">
        <v>9</v>
      </c>
      <c r="C930" s="15" t="s">
        <v>534</v>
      </c>
      <c r="D930" s="15">
        <v>5</v>
      </c>
      <c r="E930" s="15">
        <v>2</v>
      </c>
      <c r="F930" s="15">
        <v>5288</v>
      </c>
      <c r="G930" s="16">
        <v>30.66</v>
      </c>
      <c r="H930" s="15">
        <f t="shared" si="14"/>
        <v>173</v>
      </c>
      <c r="I930" s="15">
        <v>66</v>
      </c>
      <c r="J930" s="15" t="b">
        <v>0</v>
      </c>
      <c r="K930" s="15" t="b">
        <v>1</v>
      </c>
    </row>
    <row r="931" spans="1:11" x14ac:dyDescent="0.3">
      <c r="A931" s="15" t="s">
        <v>421</v>
      </c>
      <c r="B931" s="15">
        <v>9</v>
      </c>
      <c r="C931" s="15" t="s">
        <v>534</v>
      </c>
      <c r="D931" s="15">
        <v>5</v>
      </c>
      <c r="E931" s="15">
        <v>3</v>
      </c>
      <c r="F931" s="15">
        <v>5392</v>
      </c>
      <c r="G931" s="16">
        <v>30.66</v>
      </c>
      <c r="H931" s="15">
        <f t="shared" si="14"/>
        <v>176</v>
      </c>
      <c r="I931" s="15">
        <v>66</v>
      </c>
      <c r="J931" s="15" t="b">
        <v>0</v>
      </c>
      <c r="K931" s="15" t="b">
        <v>1</v>
      </c>
    </row>
    <row r="932" spans="1:11" x14ac:dyDescent="0.3">
      <c r="A932" s="15" t="s">
        <v>421</v>
      </c>
      <c r="B932" s="15">
        <v>9</v>
      </c>
      <c r="C932" s="15" t="s">
        <v>535</v>
      </c>
      <c r="D932" s="15">
        <v>1</v>
      </c>
      <c r="E932" s="15">
        <v>1</v>
      </c>
      <c r="F932" s="15">
        <v>460</v>
      </c>
      <c r="G932" s="16">
        <v>34.119999999999997</v>
      </c>
      <c r="H932" s="15">
        <f t="shared" si="14"/>
        <v>14</v>
      </c>
      <c r="I932" s="15">
        <v>3</v>
      </c>
      <c r="J932" s="15" t="b">
        <v>1</v>
      </c>
      <c r="K932" s="15" t="b">
        <v>1</v>
      </c>
    </row>
    <row r="933" spans="1:11" x14ac:dyDescent="0.3">
      <c r="A933" s="15" t="s">
        <v>421</v>
      </c>
      <c r="B933" s="15">
        <v>9</v>
      </c>
      <c r="C933" s="15" t="s">
        <v>535</v>
      </c>
      <c r="D933" s="15">
        <v>1</v>
      </c>
      <c r="E933" s="15">
        <v>2</v>
      </c>
      <c r="F933" s="15">
        <v>417</v>
      </c>
      <c r="G933" s="16">
        <v>34.119999999999997</v>
      </c>
      <c r="H933" s="15">
        <f t="shared" si="14"/>
        <v>13</v>
      </c>
      <c r="I933" s="15">
        <v>3</v>
      </c>
      <c r="J933" s="15" t="b">
        <v>1</v>
      </c>
      <c r="K933" s="15" t="b">
        <v>1</v>
      </c>
    </row>
    <row r="934" spans="1:11" x14ac:dyDescent="0.3">
      <c r="A934" s="15" t="s">
        <v>421</v>
      </c>
      <c r="B934" s="15">
        <v>9</v>
      </c>
      <c r="C934" s="15" t="s">
        <v>535</v>
      </c>
      <c r="D934" s="15">
        <v>1</v>
      </c>
      <c r="E934" s="15">
        <v>3</v>
      </c>
      <c r="F934" s="15">
        <v>403</v>
      </c>
      <c r="G934" s="16">
        <v>34.119999999999997</v>
      </c>
      <c r="H934" s="15">
        <f t="shared" si="14"/>
        <v>12</v>
      </c>
      <c r="I934" s="15">
        <v>3</v>
      </c>
      <c r="J934" s="15" t="b">
        <v>1</v>
      </c>
      <c r="K934" s="15" t="b">
        <v>1</v>
      </c>
    </row>
    <row r="935" spans="1:11" x14ac:dyDescent="0.3">
      <c r="A935" s="15" t="s">
        <v>421</v>
      </c>
      <c r="B935" s="15">
        <v>9</v>
      </c>
      <c r="C935" s="15" t="s">
        <v>535</v>
      </c>
      <c r="D935" s="15">
        <v>2</v>
      </c>
      <c r="E935" s="15">
        <v>1</v>
      </c>
      <c r="F935" s="15">
        <v>5031</v>
      </c>
      <c r="G935" s="16">
        <v>34.119999999999997</v>
      </c>
      <c r="H935" s="15">
        <f t="shared" si="14"/>
        <v>148</v>
      </c>
      <c r="I935" s="15">
        <v>30</v>
      </c>
      <c r="J935" s="15" t="b">
        <v>1</v>
      </c>
      <c r="K935" s="15" t="b">
        <v>1</v>
      </c>
    </row>
    <row r="936" spans="1:11" x14ac:dyDescent="0.3">
      <c r="A936" s="15" t="s">
        <v>421</v>
      </c>
      <c r="B936" s="15">
        <v>9</v>
      </c>
      <c r="C936" s="15" t="s">
        <v>535</v>
      </c>
      <c r="D936" s="15">
        <v>2</v>
      </c>
      <c r="E936" s="15">
        <v>2</v>
      </c>
      <c r="F936" s="15">
        <v>5095</v>
      </c>
      <c r="G936" s="16">
        <v>34.119999999999997</v>
      </c>
      <c r="H936" s="15">
        <f t="shared" si="14"/>
        <v>150</v>
      </c>
      <c r="I936" s="15">
        <v>30</v>
      </c>
      <c r="J936" s="15" t="b">
        <v>1</v>
      </c>
      <c r="K936" s="15" t="b">
        <v>1</v>
      </c>
    </row>
    <row r="937" spans="1:11" x14ac:dyDescent="0.3">
      <c r="A937" s="15" t="s">
        <v>421</v>
      </c>
      <c r="B937" s="15">
        <v>9</v>
      </c>
      <c r="C937" s="15" t="s">
        <v>535</v>
      </c>
      <c r="D937" s="15">
        <v>2</v>
      </c>
      <c r="E937" s="15">
        <v>3</v>
      </c>
      <c r="F937" s="15">
        <v>4835</v>
      </c>
      <c r="G937" s="16">
        <v>34.119999999999997</v>
      </c>
      <c r="H937" s="15">
        <f t="shared" si="14"/>
        <v>142</v>
      </c>
      <c r="I937" s="15">
        <v>30</v>
      </c>
      <c r="J937" s="15" t="b">
        <v>1</v>
      </c>
      <c r="K937" s="15" t="b">
        <v>1</v>
      </c>
    </row>
    <row r="938" spans="1:11" x14ac:dyDescent="0.3">
      <c r="A938" s="15" t="s">
        <v>421</v>
      </c>
      <c r="B938" s="15">
        <v>9</v>
      </c>
      <c r="C938" s="15" t="s">
        <v>535</v>
      </c>
      <c r="D938" s="15">
        <v>3</v>
      </c>
      <c r="E938" s="15">
        <v>1</v>
      </c>
      <c r="F938" s="15">
        <v>3329</v>
      </c>
      <c r="G938" s="16">
        <v>34.119999999999997</v>
      </c>
      <c r="H938" s="15">
        <f t="shared" si="14"/>
        <v>98</v>
      </c>
      <c r="I938" s="15">
        <v>21</v>
      </c>
      <c r="J938" s="15" t="b">
        <v>1</v>
      </c>
      <c r="K938" s="15" t="b">
        <v>1</v>
      </c>
    </row>
    <row r="939" spans="1:11" x14ac:dyDescent="0.3">
      <c r="A939" s="15" t="s">
        <v>421</v>
      </c>
      <c r="B939" s="15">
        <v>9</v>
      </c>
      <c r="C939" s="15" t="s">
        <v>535</v>
      </c>
      <c r="D939" s="15">
        <v>3</v>
      </c>
      <c r="E939" s="15">
        <v>2</v>
      </c>
      <c r="F939" s="15">
        <v>3423</v>
      </c>
      <c r="G939" s="16">
        <v>34.119999999999997</v>
      </c>
      <c r="H939" s="15">
        <f t="shared" si="14"/>
        <v>101</v>
      </c>
      <c r="I939" s="15">
        <v>21</v>
      </c>
      <c r="J939" s="15" t="b">
        <v>1</v>
      </c>
      <c r="K939" s="15" t="b">
        <v>1</v>
      </c>
    </row>
    <row r="940" spans="1:11" x14ac:dyDescent="0.3">
      <c r="A940" s="15" t="s">
        <v>421</v>
      </c>
      <c r="B940" s="15">
        <v>9</v>
      </c>
      <c r="C940" s="15" t="s">
        <v>535</v>
      </c>
      <c r="D940" s="15">
        <v>3</v>
      </c>
      <c r="E940" s="15">
        <v>3</v>
      </c>
      <c r="F940" s="15">
        <v>3408</v>
      </c>
      <c r="G940" s="16">
        <v>34.119999999999997</v>
      </c>
      <c r="H940" s="15">
        <f t="shared" si="14"/>
        <v>100</v>
      </c>
      <c r="I940" s="15">
        <v>21</v>
      </c>
      <c r="J940" s="15" t="b">
        <v>1</v>
      </c>
      <c r="K940" s="15" t="b">
        <v>1</v>
      </c>
    </row>
    <row r="941" spans="1:11" x14ac:dyDescent="0.3">
      <c r="A941" s="15" t="s">
        <v>421</v>
      </c>
      <c r="B941" s="15">
        <v>9</v>
      </c>
      <c r="C941" s="15" t="s">
        <v>535</v>
      </c>
      <c r="D941" s="15">
        <v>4</v>
      </c>
      <c r="E941" s="15">
        <v>1</v>
      </c>
      <c r="F941" s="15">
        <v>1977</v>
      </c>
      <c r="G941" s="16">
        <v>34.119999999999997</v>
      </c>
      <c r="H941" s="15">
        <f t="shared" si="14"/>
        <v>58</v>
      </c>
      <c r="I941" s="15">
        <v>12</v>
      </c>
      <c r="J941" s="15" t="b">
        <v>0</v>
      </c>
      <c r="K941" s="15" t="b">
        <v>1</v>
      </c>
    </row>
    <row r="942" spans="1:11" x14ac:dyDescent="0.3">
      <c r="A942" s="15" t="s">
        <v>421</v>
      </c>
      <c r="B942" s="15">
        <v>9</v>
      </c>
      <c r="C942" s="15" t="s">
        <v>535</v>
      </c>
      <c r="D942" s="15">
        <v>4</v>
      </c>
      <c r="E942" s="15">
        <v>2</v>
      </c>
      <c r="F942" s="15">
        <v>1962</v>
      </c>
      <c r="G942" s="16">
        <v>34.119999999999997</v>
      </c>
      <c r="H942" s="15">
        <f t="shared" si="14"/>
        <v>58</v>
      </c>
      <c r="I942" s="15">
        <v>12</v>
      </c>
      <c r="J942" s="15" t="b">
        <v>0</v>
      </c>
      <c r="K942" s="15" t="b">
        <v>1</v>
      </c>
    </row>
    <row r="943" spans="1:11" x14ac:dyDescent="0.3">
      <c r="A943" s="15" t="s">
        <v>421</v>
      </c>
      <c r="B943" s="15">
        <v>9</v>
      </c>
      <c r="C943" s="15" t="s">
        <v>535</v>
      </c>
      <c r="D943" s="15">
        <v>4</v>
      </c>
      <c r="E943" s="15">
        <v>3</v>
      </c>
      <c r="F943" s="15">
        <v>1858</v>
      </c>
      <c r="G943" s="16">
        <v>34.119999999999997</v>
      </c>
      <c r="H943" s="15">
        <f t="shared" si="14"/>
        <v>55</v>
      </c>
      <c r="I943" s="15">
        <v>12</v>
      </c>
      <c r="J943" s="15" t="b">
        <v>0</v>
      </c>
      <c r="K943" s="15" t="b">
        <v>1</v>
      </c>
    </row>
    <row r="944" spans="1:11" x14ac:dyDescent="0.3">
      <c r="A944" s="15" t="s">
        <v>421</v>
      </c>
      <c r="B944" s="15">
        <v>9</v>
      </c>
      <c r="C944" s="15" t="s">
        <v>535</v>
      </c>
      <c r="D944" s="15">
        <v>5</v>
      </c>
      <c r="E944" s="15">
        <v>1</v>
      </c>
      <c r="F944" s="15">
        <v>7349</v>
      </c>
      <c r="G944" s="16">
        <v>34.119999999999997</v>
      </c>
      <c r="H944" s="15">
        <f t="shared" si="14"/>
        <v>216</v>
      </c>
      <c r="I944" s="15">
        <v>49</v>
      </c>
      <c r="J944" s="15" t="b">
        <v>0</v>
      </c>
      <c r="K944" s="15" t="b">
        <v>1</v>
      </c>
    </row>
    <row r="945" spans="1:11" x14ac:dyDescent="0.3">
      <c r="A945" s="15" t="s">
        <v>421</v>
      </c>
      <c r="B945" s="15">
        <v>9</v>
      </c>
      <c r="C945" s="15" t="s">
        <v>535</v>
      </c>
      <c r="D945" s="15">
        <v>5</v>
      </c>
      <c r="E945" s="15">
        <v>2</v>
      </c>
      <c r="F945" s="15">
        <v>7595</v>
      </c>
      <c r="G945" s="16">
        <v>34.119999999999997</v>
      </c>
      <c r="H945" s="15">
        <f t="shared" si="14"/>
        <v>223</v>
      </c>
      <c r="I945" s="15">
        <v>49</v>
      </c>
      <c r="J945" s="15" t="b">
        <v>0</v>
      </c>
      <c r="K945" s="15" t="b">
        <v>1</v>
      </c>
    </row>
    <row r="946" spans="1:11" x14ac:dyDescent="0.3">
      <c r="A946" s="15" t="s">
        <v>421</v>
      </c>
      <c r="B946" s="15">
        <v>9</v>
      </c>
      <c r="C946" s="15" t="s">
        <v>535</v>
      </c>
      <c r="D946" s="15">
        <v>5</v>
      </c>
      <c r="E946" s="15">
        <v>3</v>
      </c>
      <c r="F946" s="15">
        <v>7413</v>
      </c>
      <c r="G946" s="16">
        <v>34.119999999999997</v>
      </c>
      <c r="H946" s="15">
        <f t="shared" si="14"/>
        <v>218</v>
      </c>
      <c r="I946" s="15">
        <v>49</v>
      </c>
      <c r="J946" s="15" t="b">
        <v>0</v>
      </c>
      <c r="K946" s="15" t="b">
        <v>1</v>
      </c>
    </row>
    <row r="947" spans="1:11" x14ac:dyDescent="0.3">
      <c r="A947" s="15" t="s">
        <v>421</v>
      </c>
      <c r="B947" s="15">
        <v>9</v>
      </c>
      <c r="C947" s="15" t="s">
        <v>536</v>
      </c>
      <c r="D947" s="15">
        <v>1</v>
      </c>
      <c r="E947" s="15">
        <v>1</v>
      </c>
      <c r="F947" s="15">
        <v>154</v>
      </c>
      <c r="G947" s="16">
        <v>32.24</v>
      </c>
      <c r="H947" s="15">
        <f t="shared" si="14"/>
        <v>5</v>
      </c>
      <c r="I947" s="15">
        <v>1</v>
      </c>
      <c r="J947" s="15" t="b">
        <v>1</v>
      </c>
      <c r="K947" s="15" t="b">
        <v>1</v>
      </c>
    </row>
    <row r="948" spans="1:11" x14ac:dyDescent="0.3">
      <c r="A948" s="15" t="s">
        <v>421</v>
      </c>
      <c r="B948" s="15">
        <v>9</v>
      </c>
      <c r="C948" s="15" t="s">
        <v>536</v>
      </c>
      <c r="D948" s="15">
        <v>1</v>
      </c>
      <c r="E948" s="15">
        <v>2</v>
      </c>
      <c r="F948" s="15">
        <v>187</v>
      </c>
      <c r="G948" s="16">
        <v>32.24</v>
      </c>
      <c r="H948" s="15">
        <f t="shared" si="14"/>
        <v>6</v>
      </c>
      <c r="I948" s="15">
        <v>1</v>
      </c>
      <c r="J948" s="15" t="b">
        <v>1</v>
      </c>
      <c r="K948" s="15" t="b">
        <v>1</v>
      </c>
    </row>
    <row r="949" spans="1:11" x14ac:dyDescent="0.3">
      <c r="A949" s="15" t="s">
        <v>421</v>
      </c>
      <c r="B949" s="15">
        <v>9</v>
      </c>
      <c r="C949" s="15" t="s">
        <v>536</v>
      </c>
      <c r="D949" s="15">
        <v>1</v>
      </c>
      <c r="E949" s="15">
        <v>3</v>
      </c>
      <c r="F949" s="15">
        <v>197</v>
      </c>
      <c r="G949" s="16">
        <v>32.24</v>
      </c>
      <c r="H949" s="15">
        <f t="shared" si="14"/>
        <v>7</v>
      </c>
      <c r="I949" s="15">
        <v>1</v>
      </c>
      <c r="J949" s="15" t="b">
        <v>1</v>
      </c>
      <c r="K949" s="15" t="b">
        <v>1</v>
      </c>
    </row>
    <row r="950" spans="1:11" x14ac:dyDescent="0.3">
      <c r="A950" s="15" t="s">
        <v>421</v>
      </c>
      <c r="B950" s="15">
        <v>9</v>
      </c>
      <c r="C950" s="15" t="s">
        <v>536</v>
      </c>
      <c r="D950" s="15">
        <v>3</v>
      </c>
      <c r="E950" s="15">
        <v>1</v>
      </c>
      <c r="F950" s="15">
        <v>3011</v>
      </c>
      <c r="G950" s="16">
        <v>32.24</v>
      </c>
      <c r="H950" s="15">
        <f t="shared" si="14"/>
        <v>94</v>
      </c>
      <c r="I950" s="15">
        <v>20</v>
      </c>
      <c r="J950" s="15" t="b">
        <v>1</v>
      </c>
      <c r="K950" s="15" t="b">
        <v>1</v>
      </c>
    </row>
    <row r="951" spans="1:11" x14ac:dyDescent="0.3">
      <c r="A951" s="15" t="s">
        <v>421</v>
      </c>
      <c r="B951" s="15">
        <v>9</v>
      </c>
      <c r="C951" s="15" t="s">
        <v>536</v>
      </c>
      <c r="D951" s="15">
        <v>3</v>
      </c>
      <c r="E951" s="15">
        <v>2</v>
      </c>
      <c r="F951" s="15">
        <v>3004</v>
      </c>
      <c r="G951" s="16">
        <v>32.24</v>
      </c>
      <c r="H951" s="15">
        <f t="shared" si="14"/>
        <v>94</v>
      </c>
      <c r="I951" s="15">
        <v>20</v>
      </c>
      <c r="J951" s="15" t="b">
        <v>1</v>
      </c>
      <c r="K951" s="15" t="b">
        <v>1</v>
      </c>
    </row>
    <row r="952" spans="1:11" x14ac:dyDescent="0.3">
      <c r="A952" s="15" t="s">
        <v>421</v>
      </c>
      <c r="B952" s="15">
        <v>9</v>
      </c>
      <c r="C952" s="15" t="s">
        <v>536</v>
      </c>
      <c r="D952" s="15">
        <v>3</v>
      </c>
      <c r="E952" s="15">
        <v>3</v>
      </c>
      <c r="F952" s="15">
        <v>2848</v>
      </c>
      <c r="G952" s="16">
        <v>32.24</v>
      </c>
      <c r="H952" s="15">
        <f t="shared" si="14"/>
        <v>89</v>
      </c>
      <c r="I952" s="15">
        <v>20</v>
      </c>
      <c r="J952" s="15" t="b">
        <v>1</v>
      </c>
      <c r="K952" s="15" t="b">
        <v>1</v>
      </c>
    </row>
    <row r="953" spans="1:11" x14ac:dyDescent="0.3">
      <c r="A953" s="15" t="s">
        <v>421</v>
      </c>
      <c r="B953" s="15">
        <v>9</v>
      </c>
      <c r="C953" s="15" t="s">
        <v>536</v>
      </c>
      <c r="D953" s="15">
        <v>4</v>
      </c>
      <c r="E953" s="15">
        <v>1</v>
      </c>
      <c r="F953" s="15">
        <v>9384</v>
      </c>
      <c r="G953" s="16">
        <v>32.24</v>
      </c>
      <c r="H953" s="15">
        <f t="shared" si="14"/>
        <v>292</v>
      </c>
      <c r="I953" s="15">
        <v>73</v>
      </c>
      <c r="J953" s="15" t="b">
        <v>0</v>
      </c>
      <c r="K953" s="15" t="b">
        <v>1</v>
      </c>
    </row>
    <row r="954" spans="1:11" x14ac:dyDescent="0.3">
      <c r="A954" s="15" t="s">
        <v>421</v>
      </c>
      <c r="B954" s="15">
        <v>9</v>
      </c>
      <c r="C954" s="15" t="s">
        <v>536</v>
      </c>
      <c r="D954" s="15">
        <v>4</v>
      </c>
      <c r="E954" s="15">
        <v>2</v>
      </c>
      <c r="F954" s="15">
        <v>9553</v>
      </c>
      <c r="G954" s="16">
        <v>32.24</v>
      </c>
      <c r="H954" s="15">
        <f t="shared" si="14"/>
        <v>297</v>
      </c>
      <c r="I954" s="15">
        <v>73</v>
      </c>
      <c r="J954" s="15" t="b">
        <v>0</v>
      </c>
      <c r="K954" s="15" t="b">
        <v>1</v>
      </c>
    </row>
    <row r="955" spans="1:11" x14ac:dyDescent="0.3">
      <c r="A955" s="15" t="s">
        <v>421</v>
      </c>
      <c r="B955" s="15">
        <v>9</v>
      </c>
      <c r="C955" s="15" t="s">
        <v>536</v>
      </c>
      <c r="D955" s="15">
        <v>4</v>
      </c>
      <c r="E955" s="15">
        <v>3</v>
      </c>
      <c r="F955" s="15">
        <v>8842</v>
      </c>
      <c r="G955" s="16">
        <v>32.24</v>
      </c>
      <c r="H955" s="15">
        <f t="shared" si="14"/>
        <v>275</v>
      </c>
      <c r="I955" s="15">
        <v>73</v>
      </c>
      <c r="J955" s="15" t="b">
        <v>0</v>
      </c>
      <c r="K955" s="15" t="b">
        <v>1</v>
      </c>
    </row>
    <row r="956" spans="1:11" x14ac:dyDescent="0.3">
      <c r="A956" s="15" t="s">
        <v>421</v>
      </c>
      <c r="B956" s="15">
        <v>9</v>
      </c>
      <c r="C956" s="15" t="s">
        <v>536</v>
      </c>
      <c r="D956" s="15">
        <v>5</v>
      </c>
      <c r="E956" s="15">
        <v>1</v>
      </c>
      <c r="F956" s="15">
        <v>5138</v>
      </c>
      <c r="G956" s="16">
        <v>32.24</v>
      </c>
      <c r="H956" s="15">
        <f t="shared" si="14"/>
        <v>160</v>
      </c>
      <c r="I956" s="15">
        <v>38</v>
      </c>
      <c r="J956" s="15" t="b">
        <v>0</v>
      </c>
      <c r="K956" s="15" t="b">
        <v>1</v>
      </c>
    </row>
    <row r="957" spans="1:11" x14ac:dyDescent="0.3">
      <c r="A957" s="15" t="s">
        <v>421</v>
      </c>
      <c r="B957" s="15">
        <v>9</v>
      </c>
      <c r="C957" s="15" t="s">
        <v>536</v>
      </c>
      <c r="D957" s="15">
        <v>5</v>
      </c>
      <c r="E957" s="15">
        <v>2</v>
      </c>
      <c r="F957" s="15">
        <v>5143</v>
      </c>
      <c r="G957" s="16">
        <v>32.24</v>
      </c>
      <c r="H957" s="15">
        <f t="shared" si="14"/>
        <v>160</v>
      </c>
      <c r="I957" s="15">
        <v>38</v>
      </c>
      <c r="J957" s="15" t="b">
        <v>0</v>
      </c>
      <c r="K957" s="15" t="b">
        <v>1</v>
      </c>
    </row>
    <row r="958" spans="1:11" x14ac:dyDescent="0.3">
      <c r="A958" s="15" t="s">
        <v>421</v>
      </c>
      <c r="B958" s="15">
        <v>9</v>
      </c>
      <c r="C958" s="15" t="s">
        <v>536</v>
      </c>
      <c r="D958" s="15">
        <v>5</v>
      </c>
      <c r="E958" s="15">
        <v>3</v>
      </c>
      <c r="F958" s="15">
        <v>5039</v>
      </c>
      <c r="G958" s="16">
        <v>32.24</v>
      </c>
      <c r="H958" s="15">
        <f t="shared" si="14"/>
        <v>157</v>
      </c>
      <c r="I958" s="15">
        <v>38</v>
      </c>
      <c r="J958" s="15" t="b">
        <v>0</v>
      </c>
      <c r="K958" s="15" t="b">
        <v>1</v>
      </c>
    </row>
    <row r="959" spans="1:11" x14ac:dyDescent="0.3">
      <c r="A959" s="15" t="s">
        <v>421</v>
      </c>
      <c r="B959" s="15">
        <v>9</v>
      </c>
      <c r="C959" s="15" t="s">
        <v>537</v>
      </c>
      <c r="D959" s="15">
        <v>2</v>
      </c>
      <c r="E959" s="15">
        <v>1</v>
      </c>
      <c r="F959" s="15">
        <v>2980</v>
      </c>
      <c r="G959" s="16">
        <v>32.61</v>
      </c>
      <c r="H959" s="15">
        <f t="shared" si="14"/>
        <v>92</v>
      </c>
      <c r="I959" s="15">
        <v>19</v>
      </c>
      <c r="J959" s="15" t="b">
        <v>1</v>
      </c>
      <c r="K959" s="15" t="b">
        <v>1</v>
      </c>
    </row>
    <row r="960" spans="1:11" x14ac:dyDescent="0.3">
      <c r="A960" s="15" t="s">
        <v>421</v>
      </c>
      <c r="B960" s="15">
        <v>9</v>
      </c>
      <c r="C960" s="15" t="s">
        <v>537</v>
      </c>
      <c r="D960" s="15">
        <v>2</v>
      </c>
      <c r="E960" s="15">
        <v>2</v>
      </c>
      <c r="F960" s="15">
        <v>3136</v>
      </c>
      <c r="G960" s="16">
        <v>32.61</v>
      </c>
      <c r="H960" s="15">
        <f t="shared" si="14"/>
        <v>97</v>
      </c>
      <c r="I960" s="15">
        <v>19</v>
      </c>
      <c r="J960" s="15" t="b">
        <v>1</v>
      </c>
      <c r="K960" s="15" t="b">
        <v>1</v>
      </c>
    </row>
    <row r="961" spans="1:11" x14ac:dyDescent="0.3">
      <c r="A961" s="15" t="s">
        <v>421</v>
      </c>
      <c r="B961" s="15">
        <v>9</v>
      </c>
      <c r="C961" s="15" t="s">
        <v>537</v>
      </c>
      <c r="D961" s="15">
        <v>2</v>
      </c>
      <c r="E961" s="15">
        <v>3</v>
      </c>
      <c r="F961" s="15">
        <v>3020</v>
      </c>
      <c r="G961" s="16">
        <v>32.61</v>
      </c>
      <c r="H961" s="15">
        <f t="shared" si="14"/>
        <v>93</v>
      </c>
      <c r="I961" s="15">
        <v>19</v>
      </c>
      <c r="J961" s="15" t="b">
        <v>1</v>
      </c>
      <c r="K961" s="15" t="b">
        <v>1</v>
      </c>
    </row>
    <row r="962" spans="1:11" x14ac:dyDescent="0.3">
      <c r="A962" s="15" t="s">
        <v>421</v>
      </c>
      <c r="B962" s="15">
        <v>9</v>
      </c>
      <c r="C962" s="15" t="s">
        <v>537</v>
      </c>
      <c r="D962" s="15">
        <v>3</v>
      </c>
      <c r="E962" s="15">
        <v>1</v>
      </c>
      <c r="F962" s="15">
        <v>1051</v>
      </c>
      <c r="G962" s="16">
        <v>32.61</v>
      </c>
      <c r="H962" s="15">
        <f t="shared" si="14"/>
        <v>33</v>
      </c>
      <c r="I962" s="15">
        <v>8</v>
      </c>
      <c r="J962" s="15" t="b">
        <v>1</v>
      </c>
      <c r="K962" s="15" t="b">
        <v>1</v>
      </c>
    </row>
    <row r="963" spans="1:11" x14ac:dyDescent="0.3">
      <c r="A963" s="15" t="s">
        <v>421</v>
      </c>
      <c r="B963" s="15">
        <v>9</v>
      </c>
      <c r="C963" s="15" t="s">
        <v>537</v>
      </c>
      <c r="D963" s="15">
        <v>3</v>
      </c>
      <c r="E963" s="15">
        <v>2</v>
      </c>
      <c r="F963" s="15">
        <v>1201</v>
      </c>
      <c r="G963" s="16">
        <v>32.61</v>
      </c>
      <c r="H963" s="15">
        <f t="shared" ref="H963:H1000" si="15">ROUNDUP(F963/G963,0)</f>
        <v>37</v>
      </c>
      <c r="I963" s="15">
        <v>8</v>
      </c>
      <c r="J963" s="15" t="b">
        <v>1</v>
      </c>
      <c r="K963" s="15" t="b">
        <v>1</v>
      </c>
    </row>
    <row r="964" spans="1:11" x14ac:dyDescent="0.3">
      <c r="A964" s="15" t="s">
        <v>421</v>
      </c>
      <c r="B964" s="15">
        <v>9</v>
      </c>
      <c r="C964" s="15" t="s">
        <v>537</v>
      </c>
      <c r="D964" s="15">
        <v>3</v>
      </c>
      <c r="E964" s="15">
        <v>3</v>
      </c>
      <c r="F964" s="15">
        <v>1109</v>
      </c>
      <c r="G964" s="16">
        <v>32.61</v>
      </c>
      <c r="H964" s="15">
        <f t="shared" si="15"/>
        <v>35</v>
      </c>
      <c r="I964" s="15">
        <v>8</v>
      </c>
      <c r="J964" s="15" t="b">
        <v>1</v>
      </c>
      <c r="K964" s="15" t="b">
        <v>1</v>
      </c>
    </row>
    <row r="965" spans="1:11" x14ac:dyDescent="0.3">
      <c r="A965" s="15" t="s">
        <v>421</v>
      </c>
      <c r="B965" s="15">
        <v>9</v>
      </c>
      <c r="C965" s="15" t="s">
        <v>537</v>
      </c>
      <c r="D965" s="15">
        <v>4</v>
      </c>
      <c r="E965" s="15">
        <v>1</v>
      </c>
      <c r="F965" s="15">
        <v>6081</v>
      </c>
      <c r="G965" s="16">
        <v>32.61</v>
      </c>
      <c r="H965" s="15">
        <f t="shared" si="15"/>
        <v>187</v>
      </c>
      <c r="I965" s="15">
        <v>45</v>
      </c>
      <c r="J965" s="15" t="b">
        <v>0</v>
      </c>
      <c r="K965" s="15" t="b">
        <v>1</v>
      </c>
    </row>
    <row r="966" spans="1:11" x14ac:dyDescent="0.3">
      <c r="A966" s="15" t="s">
        <v>421</v>
      </c>
      <c r="B966" s="15">
        <v>9</v>
      </c>
      <c r="C966" s="15" t="s">
        <v>537</v>
      </c>
      <c r="D966" s="15">
        <v>4</v>
      </c>
      <c r="E966" s="15">
        <v>2</v>
      </c>
      <c r="F966" s="15">
        <v>6195</v>
      </c>
      <c r="G966" s="16">
        <v>32.61</v>
      </c>
      <c r="H966" s="15">
        <f t="shared" si="15"/>
        <v>190</v>
      </c>
      <c r="I966" s="15">
        <v>45</v>
      </c>
      <c r="J966" s="15" t="b">
        <v>0</v>
      </c>
      <c r="K966" s="15" t="b">
        <v>1</v>
      </c>
    </row>
    <row r="967" spans="1:11" x14ac:dyDescent="0.3">
      <c r="A967" s="15" t="s">
        <v>421</v>
      </c>
      <c r="B967" s="15">
        <v>9</v>
      </c>
      <c r="C967" s="15" t="s">
        <v>537</v>
      </c>
      <c r="D967" s="15">
        <v>4</v>
      </c>
      <c r="E967" s="15">
        <v>3</v>
      </c>
      <c r="F967" s="15">
        <v>6063</v>
      </c>
      <c r="G967" s="16">
        <v>32.61</v>
      </c>
      <c r="H967" s="15">
        <f t="shared" si="15"/>
        <v>186</v>
      </c>
      <c r="I967" s="15">
        <v>45</v>
      </c>
      <c r="J967" s="15" t="b">
        <v>0</v>
      </c>
      <c r="K967" s="15" t="b">
        <v>1</v>
      </c>
    </row>
    <row r="968" spans="1:11" x14ac:dyDescent="0.3">
      <c r="A968" s="15" t="s">
        <v>421</v>
      </c>
      <c r="B968" s="15">
        <v>9</v>
      </c>
      <c r="C968" s="15" t="s">
        <v>537</v>
      </c>
      <c r="D968" s="15">
        <v>5</v>
      </c>
      <c r="E968" s="15">
        <v>1</v>
      </c>
      <c r="F968" s="15">
        <v>7305</v>
      </c>
      <c r="G968" s="16">
        <v>32.61</v>
      </c>
      <c r="H968" s="15">
        <f t="shared" si="15"/>
        <v>225</v>
      </c>
      <c r="I968" s="15">
        <v>66</v>
      </c>
      <c r="J968" s="15" t="b">
        <v>0</v>
      </c>
      <c r="K968" s="15" t="b">
        <v>1</v>
      </c>
    </row>
    <row r="969" spans="1:11" x14ac:dyDescent="0.3">
      <c r="A969" s="15" t="s">
        <v>421</v>
      </c>
      <c r="B969" s="15">
        <v>9</v>
      </c>
      <c r="C969" s="15" t="s">
        <v>537</v>
      </c>
      <c r="D969" s="15">
        <v>5</v>
      </c>
      <c r="E969" s="15">
        <v>2</v>
      </c>
      <c r="F969" s="15">
        <v>7387</v>
      </c>
      <c r="G969" s="16">
        <v>32.61</v>
      </c>
      <c r="H969" s="15">
        <f t="shared" si="15"/>
        <v>227</v>
      </c>
      <c r="I969" s="15">
        <v>66</v>
      </c>
      <c r="J969" s="15" t="b">
        <v>0</v>
      </c>
      <c r="K969" s="15" t="b">
        <v>1</v>
      </c>
    </row>
    <row r="970" spans="1:11" x14ac:dyDescent="0.3">
      <c r="A970" s="15" t="s">
        <v>421</v>
      </c>
      <c r="B970" s="15">
        <v>9</v>
      </c>
      <c r="C970" s="15" t="s">
        <v>537</v>
      </c>
      <c r="D970" s="15">
        <v>5</v>
      </c>
      <c r="E970" s="15">
        <v>3</v>
      </c>
      <c r="F970" s="15">
        <v>7293</v>
      </c>
      <c r="G970" s="16">
        <v>32.61</v>
      </c>
      <c r="H970" s="15">
        <f t="shared" si="15"/>
        <v>224</v>
      </c>
      <c r="I970" s="15">
        <v>66</v>
      </c>
      <c r="J970" s="15" t="b">
        <v>0</v>
      </c>
      <c r="K970" s="15" t="b">
        <v>1</v>
      </c>
    </row>
    <row r="971" spans="1:11" x14ac:dyDescent="0.3">
      <c r="A971" s="15" t="s">
        <v>421</v>
      </c>
      <c r="B971" s="15">
        <v>9</v>
      </c>
      <c r="C971" s="15" t="s">
        <v>538</v>
      </c>
      <c r="D971" s="15">
        <v>1</v>
      </c>
      <c r="E971" s="15">
        <v>1</v>
      </c>
      <c r="F971" s="15">
        <v>601</v>
      </c>
      <c r="G971" s="16">
        <v>30.74</v>
      </c>
      <c r="H971" s="15">
        <f t="shared" si="15"/>
        <v>20</v>
      </c>
      <c r="I971" s="15">
        <v>7</v>
      </c>
      <c r="J971" s="15" t="b">
        <v>1</v>
      </c>
      <c r="K971" s="15" t="b">
        <v>1</v>
      </c>
    </row>
    <row r="972" spans="1:11" x14ac:dyDescent="0.3">
      <c r="A972" s="15" t="s">
        <v>421</v>
      </c>
      <c r="B972" s="15">
        <v>9</v>
      </c>
      <c r="C972" s="15" t="s">
        <v>538</v>
      </c>
      <c r="D972" s="15">
        <v>1</v>
      </c>
      <c r="E972" s="15">
        <v>2</v>
      </c>
      <c r="F972" s="15">
        <v>600</v>
      </c>
      <c r="G972" s="16">
        <v>30.74</v>
      </c>
      <c r="H972" s="15">
        <f t="shared" si="15"/>
        <v>20</v>
      </c>
      <c r="I972" s="15">
        <v>7</v>
      </c>
      <c r="J972" s="15" t="b">
        <v>1</v>
      </c>
      <c r="K972" s="15" t="b">
        <v>1</v>
      </c>
    </row>
    <row r="973" spans="1:11" x14ac:dyDescent="0.3">
      <c r="A973" s="15" t="s">
        <v>421</v>
      </c>
      <c r="B973" s="15">
        <v>9</v>
      </c>
      <c r="C973" s="15" t="s">
        <v>538</v>
      </c>
      <c r="D973" s="15">
        <v>1</v>
      </c>
      <c r="E973" s="15">
        <v>3</v>
      </c>
      <c r="F973" s="15">
        <v>555</v>
      </c>
      <c r="G973" s="16">
        <v>30.74</v>
      </c>
      <c r="H973" s="15">
        <f t="shared" si="15"/>
        <v>19</v>
      </c>
      <c r="I973" s="15">
        <v>7</v>
      </c>
      <c r="J973" s="15" t="b">
        <v>1</v>
      </c>
      <c r="K973" s="15" t="b">
        <v>1</v>
      </c>
    </row>
    <row r="974" spans="1:11" x14ac:dyDescent="0.3">
      <c r="A974" s="15" t="s">
        <v>421</v>
      </c>
      <c r="B974" s="15">
        <v>9</v>
      </c>
      <c r="C974" s="15" t="s">
        <v>538</v>
      </c>
      <c r="D974" s="15">
        <v>2</v>
      </c>
      <c r="E974" s="15">
        <v>1</v>
      </c>
      <c r="F974" s="15">
        <v>618</v>
      </c>
      <c r="G974" s="16">
        <v>30.74</v>
      </c>
      <c r="H974" s="15">
        <f t="shared" si="15"/>
        <v>21</v>
      </c>
      <c r="I974" s="15">
        <v>7</v>
      </c>
      <c r="J974" s="15" t="b">
        <v>1</v>
      </c>
      <c r="K974" s="15" t="b">
        <v>1</v>
      </c>
    </row>
    <row r="975" spans="1:11" x14ac:dyDescent="0.3">
      <c r="A975" s="15" t="s">
        <v>421</v>
      </c>
      <c r="B975" s="15">
        <v>9</v>
      </c>
      <c r="C975" s="15" t="s">
        <v>538</v>
      </c>
      <c r="D975" s="15">
        <v>2</v>
      </c>
      <c r="E975" s="15">
        <v>2</v>
      </c>
      <c r="F975" s="15">
        <v>654</v>
      </c>
      <c r="G975" s="16">
        <v>30.74</v>
      </c>
      <c r="H975" s="15">
        <f t="shared" si="15"/>
        <v>22</v>
      </c>
      <c r="I975" s="15">
        <v>7</v>
      </c>
      <c r="J975" s="15" t="b">
        <v>1</v>
      </c>
      <c r="K975" s="15" t="b">
        <v>1</v>
      </c>
    </row>
    <row r="976" spans="1:11" x14ac:dyDescent="0.3">
      <c r="A976" s="15" t="s">
        <v>421</v>
      </c>
      <c r="B976" s="15">
        <v>9</v>
      </c>
      <c r="C976" s="15" t="s">
        <v>538</v>
      </c>
      <c r="D976" s="15">
        <v>2</v>
      </c>
      <c r="E976" s="15">
        <v>3</v>
      </c>
      <c r="F976" s="15">
        <v>692</v>
      </c>
      <c r="G976" s="16">
        <v>30.74</v>
      </c>
      <c r="H976" s="15">
        <f t="shared" si="15"/>
        <v>23</v>
      </c>
      <c r="I976" s="15">
        <v>7</v>
      </c>
      <c r="J976" s="15" t="b">
        <v>1</v>
      </c>
      <c r="K976" s="15" t="b">
        <v>1</v>
      </c>
    </row>
    <row r="977" spans="1:11" x14ac:dyDescent="0.3">
      <c r="A977" s="15" t="s">
        <v>421</v>
      </c>
      <c r="B977" s="15">
        <v>9</v>
      </c>
      <c r="C977" s="15" t="s">
        <v>538</v>
      </c>
      <c r="D977" s="15">
        <v>3</v>
      </c>
      <c r="E977" s="15">
        <v>1</v>
      </c>
      <c r="F977" s="15">
        <v>1429</v>
      </c>
      <c r="G977" s="16">
        <v>30.74</v>
      </c>
      <c r="H977" s="15">
        <f t="shared" si="15"/>
        <v>47</v>
      </c>
      <c r="I977" s="15">
        <v>12</v>
      </c>
      <c r="J977" s="15" t="b">
        <v>1</v>
      </c>
      <c r="K977" s="15" t="b">
        <v>1</v>
      </c>
    </row>
    <row r="978" spans="1:11" x14ac:dyDescent="0.3">
      <c r="A978" s="15" t="s">
        <v>421</v>
      </c>
      <c r="B978" s="15">
        <v>9</v>
      </c>
      <c r="C978" s="15" t="s">
        <v>538</v>
      </c>
      <c r="D978" s="15">
        <v>3</v>
      </c>
      <c r="E978" s="15">
        <v>2</v>
      </c>
      <c r="F978" s="15">
        <v>1383</v>
      </c>
      <c r="G978" s="16">
        <v>30.74</v>
      </c>
      <c r="H978" s="15">
        <f t="shared" si="15"/>
        <v>45</v>
      </c>
      <c r="I978" s="15">
        <v>12</v>
      </c>
      <c r="J978" s="15" t="b">
        <v>1</v>
      </c>
      <c r="K978" s="15" t="b">
        <v>1</v>
      </c>
    </row>
    <row r="979" spans="1:11" x14ac:dyDescent="0.3">
      <c r="A979" s="15" t="s">
        <v>421</v>
      </c>
      <c r="B979" s="15">
        <v>9</v>
      </c>
      <c r="C979" s="15" t="s">
        <v>538</v>
      </c>
      <c r="D979" s="15">
        <v>3</v>
      </c>
      <c r="E979" s="15">
        <v>3</v>
      </c>
      <c r="F979" s="15">
        <v>1458</v>
      </c>
      <c r="G979" s="16">
        <v>30.74</v>
      </c>
      <c r="H979" s="15">
        <f t="shared" si="15"/>
        <v>48</v>
      </c>
      <c r="I979" s="15">
        <v>12</v>
      </c>
      <c r="J979" s="15" t="b">
        <v>1</v>
      </c>
      <c r="K979" s="15" t="b">
        <v>1</v>
      </c>
    </row>
    <row r="980" spans="1:11" x14ac:dyDescent="0.3">
      <c r="A980" s="15" t="s">
        <v>421</v>
      </c>
      <c r="B980" s="15">
        <v>9</v>
      </c>
      <c r="C980" s="15" t="s">
        <v>538</v>
      </c>
      <c r="D980" s="15">
        <v>4</v>
      </c>
      <c r="E980" s="15">
        <v>1</v>
      </c>
      <c r="F980" s="15">
        <v>525</v>
      </c>
      <c r="G980" s="16">
        <v>30.74</v>
      </c>
      <c r="H980" s="15">
        <f t="shared" si="15"/>
        <v>18</v>
      </c>
      <c r="I980" s="15">
        <v>5</v>
      </c>
      <c r="J980" s="15" t="b">
        <v>0</v>
      </c>
      <c r="K980" s="15" t="b">
        <v>1</v>
      </c>
    </row>
    <row r="981" spans="1:11" x14ac:dyDescent="0.3">
      <c r="A981" s="15" t="s">
        <v>421</v>
      </c>
      <c r="B981" s="15">
        <v>9</v>
      </c>
      <c r="C981" s="15" t="s">
        <v>538</v>
      </c>
      <c r="D981" s="15">
        <v>4</v>
      </c>
      <c r="E981" s="15">
        <v>2</v>
      </c>
      <c r="F981" s="15">
        <v>517</v>
      </c>
      <c r="G981" s="16">
        <v>30.74</v>
      </c>
      <c r="H981" s="15">
        <f t="shared" si="15"/>
        <v>17</v>
      </c>
      <c r="I981" s="15">
        <v>5</v>
      </c>
      <c r="J981" s="15" t="b">
        <v>0</v>
      </c>
      <c r="K981" s="15" t="b">
        <v>1</v>
      </c>
    </row>
    <row r="982" spans="1:11" x14ac:dyDescent="0.3">
      <c r="A982" s="15" t="s">
        <v>421</v>
      </c>
      <c r="B982" s="15">
        <v>9</v>
      </c>
      <c r="C982" s="15" t="s">
        <v>538</v>
      </c>
      <c r="D982" s="15">
        <v>4</v>
      </c>
      <c r="E982" s="15">
        <v>3</v>
      </c>
      <c r="F982" s="15">
        <v>487</v>
      </c>
      <c r="G982" s="16">
        <v>30.74</v>
      </c>
      <c r="H982" s="15">
        <f t="shared" si="15"/>
        <v>16</v>
      </c>
      <c r="I982" s="15">
        <v>5</v>
      </c>
      <c r="J982" s="15" t="b">
        <v>0</v>
      </c>
      <c r="K982" s="15" t="b">
        <v>1</v>
      </c>
    </row>
    <row r="983" spans="1:11" x14ac:dyDescent="0.3">
      <c r="A983" s="15" t="s">
        <v>421</v>
      </c>
      <c r="B983" s="15">
        <v>9</v>
      </c>
      <c r="C983" s="15" t="s">
        <v>538</v>
      </c>
      <c r="D983" s="15">
        <v>5</v>
      </c>
      <c r="E983" s="15">
        <v>1</v>
      </c>
      <c r="F983" s="15">
        <v>392</v>
      </c>
      <c r="G983" s="16">
        <v>30.74</v>
      </c>
      <c r="H983" s="15">
        <f t="shared" si="15"/>
        <v>13</v>
      </c>
      <c r="I983" s="15">
        <v>6</v>
      </c>
      <c r="J983" s="15" t="b">
        <v>0</v>
      </c>
      <c r="K983" s="15" t="b">
        <v>1</v>
      </c>
    </row>
    <row r="984" spans="1:11" x14ac:dyDescent="0.3">
      <c r="A984" s="15" t="s">
        <v>421</v>
      </c>
      <c r="B984" s="15">
        <v>9</v>
      </c>
      <c r="C984" s="15" t="s">
        <v>538</v>
      </c>
      <c r="D984" s="15">
        <v>5</v>
      </c>
      <c r="E984" s="15">
        <v>2</v>
      </c>
      <c r="F984" s="15">
        <v>441</v>
      </c>
      <c r="G984" s="16">
        <v>30.74</v>
      </c>
      <c r="H984" s="15">
        <f t="shared" si="15"/>
        <v>15</v>
      </c>
      <c r="I984" s="15">
        <v>6</v>
      </c>
      <c r="J984" s="15" t="b">
        <v>0</v>
      </c>
      <c r="K984" s="15" t="b">
        <v>1</v>
      </c>
    </row>
    <row r="985" spans="1:11" x14ac:dyDescent="0.3">
      <c r="A985" s="15" t="s">
        <v>421</v>
      </c>
      <c r="B985" s="15">
        <v>9</v>
      </c>
      <c r="C985" s="15" t="s">
        <v>538</v>
      </c>
      <c r="D985" s="15">
        <v>5</v>
      </c>
      <c r="E985" s="15">
        <v>3</v>
      </c>
      <c r="F985" s="15">
        <v>439</v>
      </c>
      <c r="G985" s="16">
        <v>30.74</v>
      </c>
      <c r="H985" s="15">
        <f t="shared" si="15"/>
        <v>15</v>
      </c>
      <c r="I985" s="15">
        <v>6</v>
      </c>
      <c r="J985" s="15" t="b">
        <v>0</v>
      </c>
      <c r="K985" s="15" t="b">
        <v>1</v>
      </c>
    </row>
    <row r="986" spans="1:11" x14ac:dyDescent="0.3">
      <c r="A986" s="15" t="s">
        <v>421</v>
      </c>
      <c r="B986" s="15">
        <v>9</v>
      </c>
      <c r="C986" s="15" t="s">
        <v>539</v>
      </c>
      <c r="D986" s="15">
        <v>1</v>
      </c>
      <c r="E986" s="15">
        <v>1</v>
      </c>
      <c r="F986" s="15">
        <v>1124</v>
      </c>
      <c r="G986" s="16">
        <v>30.02</v>
      </c>
      <c r="H986" s="15">
        <f t="shared" si="15"/>
        <v>38</v>
      </c>
      <c r="I986" s="15">
        <v>21</v>
      </c>
      <c r="J986" s="15" t="b">
        <v>1</v>
      </c>
      <c r="K986" s="15" t="b">
        <v>1</v>
      </c>
    </row>
    <row r="987" spans="1:11" x14ac:dyDescent="0.3">
      <c r="A987" s="15" t="s">
        <v>421</v>
      </c>
      <c r="B987" s="15">
        <v>9</v>
      </c>
      <c r="C987" s="15" t="s">
        <v>539</v>
      </c>
      <c r="D987" s="15">
        <v>1</v>
      </c>
      <c r="E987" s="15">
        <v>2</v>
      </c>
      <c r="F987" s="15">
        <v>1194</v>
      </c>
      <c r="G987" s="16">
        <v>30.02</v>
      </c>
      <c r="H987" s="15">
        <f t="shared" si="15"/>
        <v>40</v>
      </c>
      <c r="I987" s="15">
        <v>21</v>
      </c>
      <c r="J987" s="15" t="b">
        <v>1</v>
      </c>
      <c r="K987" s="15" t="b">
        <v>1</v>
      </c>
    </row>
    <row r="988" spans="1:11" x14ac:dyDescent="0.3">
      <c r="A988" s="15" t="s">
        <v>421</v>
      </c>
      <c r="B988" s="15">
        <v>9</v>
      </c>
      <c r="C988" s="15" t="s">
        <v>539</v>
      </c>
      <c r="D988" s="15">
        <v>1</v>
      </c>
      <c r="E988" s="15">
        <v>3</v>
      </c>
      <c r="F988" s="15">
        <v>1176</v>
      </c>
      <c r="G988" s="16">
        <v>30.02</v>
      </c>
      <c r="H988" s="15">
        <f t="shared" si="15"/>
        <v>40</v>
      </c>
      <c r="I988" s="15">
        <v>21</v>
      </c>
      <c r="J988" s="15" t="b">
        <v>1</v>
      </c>
      <c r="K988" s="15" t="b">
        <v>1</v>
      </c>
    </row>
    <row r="989" spans="1:11" x14ac:dyDescent="0.3">
      <c r="A989" s="15" t="s">
        <v>421</v>
      </c>
      <c r="B989" s="15">
        <v>9</v>
      </c>
      <c r="C989" s="15" t="s">
        <v>539</v>
      </c>
      <c r="D989" s="15">
        <v>2</v>
      </c>
      <c r="E989" s="15">
        <v>1</v>
      </c>
      <c r="F989" s="15">
        <v>365</v>
      </c>
      <c r="G989" s="16">
        <v>30.02</v>
      </c>
      <c r="H989" s="15">
        <f t="shared" si="15"/>
        <v>13</v>
      </c>
      <c r="I989" s="15">
        <v>3</v>
      </c>
      <c r="J989" s="15" t="b">
        <v>1</v>
      </c>
      <c r="K989" s="15" t="b">
        <v>1</v>
      </c>
    </row>
    <row r="990" spans="1:11" x14ac:dyDescent="0.3">
      <c r="A990" s="15" t="s">
        <v>421</v>
      </c>
      <c r="B990" s="15">
        <v>9</v>
      </c>
      <c r="C990" s="15" t="s">
        <v>539</v>
      </c>
      <c r="D990" s="15">
        <v>2</v>
      </c>
      <c r="E990" s="15">
        <v>2</v>
      </c>
      <c r="F990" s="15">
        <v>364</v>
      </c>
      <c r="G990" s="16">
        <v>30.02</v>
      </c>
      <c r="H990" s="15">
        <f t="shared" si="15"/>
        <v>13</v>
      </c>
      <c r="I990" s="15">
        <v>3</v>
      </c>
      <c r="J990" s="15" t="b">
        <v>1</v>
      </c>
      <c r="K990" s="15" t="b">
        <v>1</v>
      </c>
    </row>
    <row r="991" spans="1:11" x14ac:dyDescent="0.3">
      <c r="A991" s="15" t="s">
        <v>421</v>
      </c>
      <c r="B991" s="15">
        <v>9</v>
      </c>
      <c r="C991" s="15" t="s">
        <v>539</v>
      </c>
      <c r="D991" s="15">
        <v>2</v>
      </c>
      <c r="E991" s="15">
        <v>3</v>
      </c>
      <c r="F991" s="15">
        <v>343</v>
      </c>
      <c r="G991" s="16">
        <v>30.02</v>
      </c>
      <c r="H991" s="15">
        <f t="shared" si="15"/>
        <v>12</v>
      </c>
      <c r="I991" s="15">
        <v>3</v>
      </c>
      <c r="J991" s="15" t="b">
        <v>1</v>
      </c>
      <c r="K991" s="15" t="b">
        <v>1</v>
      </c>
    </row>
    <row r="992" spans="1:11" x14ac:dyDescent="0.3">
      <c r="A992" s="15" t="s">
        <v>421</v>
      </c>
      <c r="B992" s="15">
        <v>9</v>
      </c>
      <c r="C992" s="15" t="s">
        <v>539</v>
      </c>
      <c r="D992" s="15">
        <v>3</v>
      </c>
      <c r="E992" s="15">
        <v>1</v>
      </c>
      <c r="F992" s="15">
        <v>527</v>
      </c>
      <c r="G992" s="16">
        <v>30.02</v>
      </c>
      <c r="H992" s="15">
        <f t="shared" si="15"/>
        <v>18</v>
      </c>
      <c r="I992" s="15">
        <v>6</v>
      </c>
      <c r="J992" s="15" t="b">
        <v>1</v>
      </c>
      <c r="K992" s="15" t="b">
        <v>1</v>
      </c>
    </row>
    <row r="993" spans="1:11" x14ac:dyDescent="0.3">
      <c r="A993" s="15" t="s">
        <v>421</v>
      </c>
      <c r="B993" s="15">
        <v>9</v>
      </c>
      <c r="C993" s="15" t="s">
        <v>539</v>
      </c>
      <c r="D993" s="15">
        <v>3</v>
      </c>
      <c r="E993" s="15">
        <v>2</v>
      </c>
      <c r="F993" s="15">
        <v>525</v>
      </c>
      <c r="G993" s="16">
        <v>30.02</v>
      </c>
      <c r="H993" s="15">
        <f t="shared" si="15"/>
        <v>18</v>
      </c>
      <c r="I993" s="15">
        <v>6</v>
      </c>
      <c r="J993" s="15" t="b">
        <v>1</v>
      </c>
      <c r="K993" s="15" t="b">
        <v>1</v>
      </c>
    </row>
    <row r="994" spans="1:11" x14ac:dyDescent="0.3">
      <c r="A994" s="15" t="s">
        <v>421</v>
      </c>
      <c r="B994" s="15">
        <v>9</v>
      </c>
      <c r="C994" s="15" t="s">
        <v>539</v>
      </c>
      <c r="D994" s="15">
        <v>3</v>
      </c>
      <c r="E994" s="15">
        <v>3</v>
      </c>
      <c r="F994" s="15">
        <v>558</v>
      </c>
      <c r="G994" s="16">
        <v>30.02</v>
      </c>
      <c r="H994" s="15">
        <f t="shared" si="15"/>
        <v>19</v>
      </c>
      <c r="I994" s="15">
        <v>6</v>
      </c>
      <c r="J994" s="15" t="b">
        <v>1</v>
      </c>
      <c r="K994" s="15" t="b">
        <v>1</v>
      </c>
    </row>
    <row r="995" spans="1:11" x14ac:dyDescent="0.3">
      <c r="A995" s="15" t="s">
        <v>421</v>
      </c>
      <c r="B995" s="15">
        <v>9</v>
      </c>
      <c r="C995" s="15" t="s">
        <v>539</v>
      </c>
      <c r="D995" s="15">
        <v>4</v>
      </c>
      <c r="E995" s="15">
        <v>1</v>
      </c>
      <c r="F995" s="15">
        <v>1432</v>
      </c>
      <c r="G995" s="16">
        <v>30.02</v>
      </c>
      <c r="H995" s="15">
        <f t="shared" si="15"/>
        <v>48</v>
      </c>
      <c r="I995" s="15">
        <v>11</v>
      </c>
      <c r="J995" s="15" t="b">
        <v>0</v>
      </c>
      <c r="K995" s="15" t="b">
        <v>1</v>
      </c>
    </row>
    <row r="996" spans="1:11" x14ac:dyDescent="0.3">
      <c r="A996" s="15" t="s">
        <v>421</v>
      </c>
      <c r="B996" s="15">
        <v>9</v>
      </c>
      <c r="C996" s="15" t="s">
        <v>539</v>
      </c>
      <c r="D996" s="15">
        <v>4</v>
      </c>
      <c r="E996" s="15">
        <v>2</v>
      </c>
      <c r="F996" s="15">
        <v>1392</v>
      </c>
      <c r="G996" s="16">
        <v>30.02</v>
      </c>
      <c r="H996" s="15">
        <f t="shared" si="15"/>
        <v>47</v>
      </c>
      <c r="I996" s="15">
        <v>11</v>
      </c>
      <c r="J996" s="15" t="b">
        <v>0</v>
      </c>
      <c r="K996" s="15" t="b">
        <v>1</v>
      </c>
    </row>
    <row r="997" spans="1:11" x14ac:dyDescent="0.3">
      <c r="A997" s="15" t="s">
        <v>421</v>
      </c>
      <c r="B997" s="15">
        <v>9</v>
      </c>
      <c r="C997" s="15" t="s">
        <v>539</v>
      </c>
      <c r="D997" s="15">
        <v>4</v>
      </c>
      <c r="E997" s="15">
        <v>3</v>
      </c>
      <c r="F997" s="15">
        <v>1452</v>
      </c>
      <c r="G997" s="16">
        <v>30.02</v>
      </c>
      <c r="H997" s="15">
        <f t="shared" si="15"/>
        <v>49</v>
      </c>
      <c r="I997" s="15">
        <v>11</v>
      </c>
      <c r="J997" s="15" t="b">
        <v>0</v>
      </c>
      <c r="K997" s="15" t="b">
        <v>1</v>
      </c>
    </row>
    <row r="998" spans="1:11" x14ac:dyDescent="0.3">
      <c r="A998" s="15" t="s">
        <v>421</v>
      </c>
      <c r="B998" s="15">
        <v>9</v>
      </c>
      <c r="C998" s="15" t="s">
        <v>539</v>
      </c>
      <c r="D998" s="15">
        <v>5</v>
      </c>
      <c r="E998" s="15">
        <v>1</v>
      </c>
      <c r="F998" s="15">
        <v>956</v>
      </c>
      <c r="G998" s="16">
        <v>30.02</v>
      </c>
      <c r="H998" s="15">
        <f t="shared" si="15"/>
        <v>32</v>
      </c>
      <c r="I998" s="15">
        <v>16</v>
      </c>
      <c r="J998" s="15" t="b">
        <v>0</v>
      </c>
      <c r="K998" s="15" t="b">
        <v>1</v>
      </c>
    </row>
    <row r="999" spans="1:11" x14ac:dyDescent="0.3">
      <c r="A999" s="15" t="s">
        <v>421</v>
      </c>
      <c r="B999" s="15">
        <v>9</v>
      </c>
      <c r="C999" s="15" t="s">
        <v>539</v>
      </c>
      <c r="D999" s="15">
        <v>5</v>
      </c>
      <c r="E999" s="15">
        <v>2</v>
      </c>
      <c r="F999" s="15">
        <v>972</v>
      </c>
      <c r="G999" s="16">
        <v>30.02</v>
      </c>
      <c r="H999" s="15">
        <f t="shared" si="15"/>
        <v>33</v>
      </c>
      <c r="I999" s="15">
        <v>16</v>
      </c>
      <c r="J999" s="15" t="b">
        <v>0</v>
      </c>
      <c r="K999" s="15" t="b">
        <v>1</v>
      </c>
    </row>
    <row r="1000" spans="1:11" x14ac:dyDescent="0.3">
      <c r="A1000" s="15" t="s">
        <v>421</v>
      </c>
      <c r="B1000" s="15">
        <v>9</v>
      </c>
      <c r="C1000" s="15" t="s">
        <v>539</v>
      </c>
      <c r="D1000" s="15">
        <v>5</v>
      </c>
      <c r="E1000" s="15">
        <v>3</v>
      </c>
      <c r="F1000" s="15">
        <v>986</v>
      </c>
      <c r="G1000" s="16">
        <v>30.02</v>
      </c>
      <c r="H1000" s="15">
        <f t="shared" si="15"/>
        <v>33</v>
      </c>
      <c r="I1000" s="15">
        <v>16</v>
      </c>
      <c r="J1000" s="15" t="b">
        <v>0</v>
      </c>
      <c r="K1000" s="15" t="b">
        <v>1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1B8E8-467E-4BFE-BAC7-27E984A10DEE}">
  <sheetPr>
    <tabColor theme="0" tint="-0.249977111117893"/>
  </sheetPr>
  <dimension ref="A1:M30"/>
  <sheetViews>
    <sheetView workbookViewId="0">
      <selection activeCell="I24" sqref="I24"/>
    </sheetView>
  </sheetViews>
  <sheetFormatPr defaultRowHeight="14.4" x14ac:dyDescent="0.3"/>
  <cols>
    <col min="1" max="1" width="24.44140625" customWidth="1"/>
    <col min="2" max="2" width="16.44140625" bestFit="1" customWidth="1"/>
    <col min="3" max="3" width="17.5546875" bestFit="1" customWidth="1"/>
    <col min="4" max="4" width="16.44140625" bestFit="1" customWidth="1"/>
    <col min="5" max="5" width="17.5546875" bestFit="1" customWidth="1"/>
    <col min="6" max="6" width="16.44140625" bestFit="1" customWidth="1"/>
    <col min="7" max="7" width="17.5546875" bestFit="1" customWidth="1"/>
    <col min="8" max="8" width="16.44140625" bestFit="1" customWidth="1"/>
    <col min="9" max="9" width="17.5546875" bestFit="1" customWidth="1"/>
    <col min="10" max="10" width="16.44140625" bestFit="1" customWidth="1"/>
    <col min="11" max="11" width="17.5546875" bestFit="1" customWidth="1"/>
    <col min="12" max="12" width="21.33203125" bestFit="1" customWidth="1"/>
    <col min="13" max="13" width="22.33203125" bestFit="1" customWidth="1"/>
  </cols>
  <sheetData>
    <row r="1" spans="1:13" x14ac:dyDescent="0.3">
      <c r="A1" s="85" t="s">
        <v>462</v>
      </c>
      <c r="B1" s="86">
        <v>3</v>
      </c>
    </row>
    <row r="3" spans="1:13" x14ac:dyDescent="0.3">
      <c r="B3" s="85" t="s">
        <v>540</v>
      </c>
    </row>
    <row r="4" spans="1:13" x14ac:dyDescent="0.3">
      <c r="B4">
        <v>1</v>
      </c>
      <c r="D4">
        <v>2</v>
      </c>
      <c r="F4">
        <v>3</v>
      </c>
      <c r="H4">
        <v>4</v>
      </c>
      <c r="J4">
        <v>5</v>
      </c>
      <c r="L4" t="s">
        <v>541</v>
      </c>
      <c r="M4" t="s">
        <v>542</v>
      </c>
    </row>
    <row r="5" spans="1:13" x14ac:dyDescent="0.3">
      <c r="A5" s="85" t="s">
        <v>543</v>
      </c>
      <c r="B5" t="s">
        <v>544</v>
      </c>
      <c r="C5" t="s">
        <v>545</v>
      </c>
      <c r="D5" t="s">
        <v>544</v>
      </c>
      <c r="E5" t="s">
        <v>545</v>
      </c>
      <c r="F5" t="s">
        <v>544</v>
      </c>
      <c r="G5" t="s">
        <v>545</v>
      </c>
      <c r="H5" t="s">
        <v>544</v>
      </c>
      <c r="I5" t="s">
        <v>545</v>
      </c>
      <c r="J5" t="s">
        <v>544</v>
      </c>
      <c r="K5" t="s">
        <v>545</v>
      </c>
    </row>
    <row r="6" spans="1:13" x14ac:dyDescent="0.3">
      <c r="A6" s="86" t="s">
        <v>395</v>
      </c>
      <c r="B6">
        <v>1152</v>
      </c>
      <c r="C6">
        <v>868</v>
      </c>
      <c r="D6">
        <v>560</v>
      </c>
      <c r="E6">
        <v>409</v>
      </c>
      <c r="F6">
        <v>1727</v>
      </c>
      <c r="G6">
        <v>747</v>
      </c>
      <c r="H6">
        <v>134</v>
      </c>
      <c r="I6">
        <v>59</v>
      </c>
      <c r="J6">
        <v>200</v>
      </c>
      <c r="K6">
        <v>78</v>
      </c>
      <c r="L6">
        <v>3773</v>
      </c>
      <c r="M6">
        <v>2161</v>
      </c>
    </row>
    <row r="7" spans="1:13" x14ac:dyDescent="0.3">
      <c r="A7" s="86" t="s">
        <v>401</v>
      </c>
      <c r="B7">
        <v>458</v>
      </c>
      <c r="C7">
        <v>135</v>
      </c>
      <c r="D7">
        <v>410</v>
      </c>
      <c r="E7">
        <v>109</v>
      </c>
      <c r="F7">
        <v>492</v>
      </c>
      <c r="G7">
        <v>138</v>
      </c>
      <c r="H7">
        <v>94</v>
      </c>
      <c r="I7">
        <v>37</v>
      </c>
      <c r="J7">
        <v>164</v>
      </c>
      <c r="K7">
        <v>55</v>
      </c>
      <c r="L7">
        <v>1618</v>
      </c>
      <c r="M7">
        <v>474</v>
      </c>
    </row>
    <row r="8" spans="1:13" x14ac:dyDescent="0.3">
      <c r="A8" s="86" t="s">
        <v>406</v>
      </c>
      <c r="B8">
        <v>945</v>
      </c>
      <c r="C8">
        <v>193</v>
      </c>
      <c r="D8">
        <v>886</v>
      </c>
      <c r="E8">
        <v>171</v>
      </c>
      <c r="F8">
        <v>1079</v>
      </c>
      <c r="G8">
        <v>284</v>
      </c>
      <c r="H8">
        <v>1208</v>
      </c>
      <c r="I8">
        <v>318</v>
      </c>
      <c r="J8">
        <v>1831</v>
      </c>
      <c r="K8">
        <v>430</v>
      </c>
      <c r="L8">
        <v>5949</v>
      </c>
      <c r="M8">
        <v>1396</v>
      </c>
    </row>
    <row r="9" spans="1:13" x14ac:dyDescent="0.3">
      <c r="A9" s="86" t="s">
        <v>501</v>
      </c>
      <c r="B9">
        <v>1287</v>
      </c>
      <c r="C9">
        <v>800</v>
      </c>
      <c r="D9">
        <v>1627</v>
      </c>
      <c r="E9">
        <v>823</v>
      </c>
      <c r="F9">
        <v>2000</v>
      </c>
      <c r="G9">
        <v>719</v>
      </c>
      <c r="H9">
        <v>897</v>
      </c>
      <c r="I9">
        <v>298</v>
      </c>
      <c r="J9">
        <v>825</v>
      </c>
      <c r="K9">
        <v>287</v>
      </c>
      <c r="L9">
        <v>6636</v>
      </c>
      <c r="M9">
        <v>2927</v>
      </c>
    </row>
    <row r="10" spans="1:13" x14ac:dyDescent="0.3">
      <c r="A10" s="86" t="s">
        <v>413</v>
      </c>
      <c r="B10">
        <v>1285</v>
      </c>
      <c r="C10">
        <v>725</v>
      </c>
      <c r="D10">
        <v>1396</v>
      </c>
      <c r="E10">
        <v>786</v>
      </c>
      <c r="F10">
        <v>711</v>
      </c>
      <c r="G10">
        <v>311</v>
      </c>
      <c r="H10">
        <v>29</v>
      </c>
      <c r="I10">
        <v>13</v>
      </c>
      <c r="J10">
        <v>118</v>
      </c>
      <c r="K10">
        <v>40</v>
      </c>
      <c r="L10">
        <v>3539</v>
      </c>
      <c r="M10">
        <v>1875</v>
      </c>
    </row>
    <row r="11" spans="1:13" x14ac:dyDescent="0.3">
      <c r="A11" s="86" t="s">
        <v>416</v>
      </c>
      <c r="B11">
        <v>640</v>
      </c>
      <c r="C11">
        <v>284</v>
      </c>
      <c r="D11">
        <v>808</v>
      </c>
      <c r="E11">
        <v>284</v>
      </c>
      <c r="F11">
        <v>575</v>
      </c>
      <c r="G11">
        <v>206</v>
      </c>
      <c r="H11">
        <v>443</v>
      </c>
      <c r="I11">
        <v>126</v>
      </c>
      <c r="J11">
        <v>300</v>
      </c>
      <c r="K11">
        <v>105</v>
      </c>
      <c r="L11">
        <v>2766</v>
      </c>
      <c r="M11">
        <v>1005</v>
      </c>
    </row>
    <row r="12" spans="1:13" x14ac:dyDescent="0.3">
      <c r="A12" s="86" t="s">
        <v>419</v>
      </c>
      <c r="B12">
        <v>592</v>
      </c>
      <c r="C12">
        <v>261</v>
      </c>
      <c r="D12">
        <v>410</v>
      </c>
      <c r="E12">
        <v>178</v>
      </c>
      <c r="F12">
        <v>853</v>
      </c>
      <c r="G12">
        <v>289</v>
      </c>
      <c r="H12">
        <v>177</v>
      </c>
      <c r="I12">
        <v>62</v>
      </c>
      <c r="J12">
        <v>23</v>
      </c>
      <c r="K12">
        <v>7</v>
      </c>
      <c r="L12">
        <v>2055</v>
      </c>
      <c r="M12">
        <v>797</v>
      </c>
    </row>
    <row r="13" spans="1:13" x14ac:dyDescent="0.3">
      <c r="A13" s="86" t="s">
        <v>420</v>
      </c>
      <c r="B13">
        <v>152</v>
      </c>
      <c r="C13">
        <v>54</v>
      </c>
      <c r="D13">
        <v>157</v>
      </c>
      <c r="E13">
        <v>47</v>
      </c>
      <c r="F13">
        <v>158</v>
      </c>
      <c r="G13">
        <v>53</v>
      </c>
      <c r="H13">
        <v>103</v>
      </c>
      <c r="I13">
        <v>32</v>
      </c>
      <c r="J13">
        <v>94</v>
      </c>
      <c r="K13">
        <v>34</v>
      </c>
      <c r="L13">
        <v>664</v>
      </c>
      <c r="M13">
        <v>220</v>
      </c>
    </row>
    <row r="14" spans="1:13" x14ac:dyDescent="0.3">
      <c r="A14" s="86" t="s">
        <v>421</v>
      </c>
      <c r="B14">
        <v>281</v>
      </c>
      <c r="C14">
        <v>97</v>
      </c>
      <c r="D14">
        <v>439</v>
      </c>
      <c r="E14">
        <v>100</v>
      </c>
      <c r="F14">
        <v>477</v>
      </c>
      <c r="G14">
        <v>118</v>
      </c>
      <c r="H14">
        <v>866</v>
      </c>
      <c r="I14">
        <v>235</v>
      </c>
      <c r="J14">
        <v>966</v>
      </c>
      <c r="K14">
        <v>297</v>
      </c>
      <c r="L14">
        <v>3029</v>
      </c>
      <c r="M14">
        <v>847</v>
      </c>
    </row>
    <row r="15" spans="1:13" x14ac:dyDescent="0.3">
      <c r="A15" s="86" t="s">
        <v>546</v>
      </c>
      <c r="B15">
        <v>6792</v>
      </c>
      <c r="C15">
        <v>3417</v>
      </c>
      <c r="D15">
        <v>6693</v>
      </c>
      <c r="E15">
        <v>2907</v>
      </c>
      <c r="F15">
        <v>8072</v>
      </c>
      <c r="G15">
        <v>2865</v>
      </c>
      <c r="H15">
        <v>3951</v>
      </c>
      <c r="I15">
        <v>1180</v>
      </c>
      <c r="J15">
        <v>4521</v>
      </c>
      <c r="K15">
        <v>1333</v>
      </c>
      <c r="L15">
        <v>30029</v>
      </c>
      <c r="M15">
        <v>11702</v>
      </c>
    </row>
    <row r="18" spans="1:12" x14ac:dyDescent="0.3">
      <c r="A18" t="str">
        <f>A6</f>
        <v>Eastern Cape</v>
      </c>
      <c r="B18" s="10">
        <f>B6/C6</f>
        <v>1.3271889400921659</v>
      </c>
      <c r="D18" s="10">
        <f>D6/E6</f>
        <v>1.3691931540342299</v>
      </c>
      <c r="E18" s="10"/>
      <c r="F18" s="10">
        <f>F6/G6</f>
        <v>2.3119143239625166</v>
      </c>
      <c r="G18" s="10"/>
      <c r="H18" s="10">
        <f>H6/I6</f>
        <v>2.2711864406779663</v>
      </c>
      <c r="I18" s="10"/>
      <c r="J18" s="10">
        <f>J6/K6</f>
        <v>2.5641025641025643</v>
      </c>
      <c r="K18" s="10"/>
      <c r="L18" s="10">
        <f>L6/M6</f>
        <v>1.7459509486348912</v>
      </c>
    </row>
    <row r="19" spans="1:12" x14ac:dyDescent="0.3">
      <c r="A19" t="str">
        <f t="shared" ref="A19:A27" si="0">A7</f>
        <v>Free State</v>
      </c>
      <c r="B19" s="10">
        <f t="shared" ref="B19:L26" si="1">B7/C7</f>
        <v>3.3925925925925924</v>
      </c>
      <c r="D19" s="10">
        <f t="shared" si="1"/>
        <v>3.761467889908257</v>
      </c>
      <c r="E19" s="10"/>
      <c r="F19" s="10">
        <f t="shared" si="1"/>
        <v>3.5652173913043477</v>
      </c>
      <c r="G19" s="10"/>
      <c r="H19" s="10">
        <f t="shared" si="1"/>
        <v>2.5405405405405403</v>
      </c>
      <c r="I19" s="10"/>
      <c r="J19" s="10">
        <f t="shared" si="1"/>
        <v>2.9818181818181819</v>
      </c>
      <c r="K19" s="10"/>
      <c r="L19" s="10">
        <f t="shared" si="1"/>
        <v>3.4135021097046412</v>
      </c>
    </row>
    <row r="20" spans="1:12" x14ac:dyDescent="0.3">
      <c r="A20" t="str">
        <f t="shared" si="0"/>
        <v>Gauteng</v>
      </c>
      <c r="B20" s="10">
        <f t="shared" si="1"/>
        <v>4.8963730569948183</v>
      </c>
      <c r="D20" s="10">
        <f t="shared" si="1"/>
        <v>5.1812865497076022</v>
      </c>
      <c r="E20" s="10"/>
      <c r="F20" s="10">
        <f t="shared" si="1"/>
        <v>3.7992957746478875</v>
      </c>
      <c r="G20" s="10"/>
      <c r="H20" s="10">
        <f t="shared" si="1"/>
        <v>3.7987421383647799</v>
      </c>
      <c r="I20" s="10"/>
      <c r="J20" s="10">
        <f t="shared" si="1"/>
        <v>4.2581395348837212</v>
      </c>
      <c r="K20" s="10"/>
      <c r="L20" s="10">
        <f t="shared" si="1"/>
        <v>4.2614613180515759</v>
      </c>
    </row>
    <row r="21" spans="1:12" x14ac:dyDescent="0.3">
      <c r="A21" t="str">
        <f t="shared" si="0"/>
        <v>Kwa-Zulu Natal</v>
      </c>
      <c r="B21" s="10">
        <f t="shared" si="1"/>
        <v>1.6087499999999999</v>
      </c>
      <c r="D21" s="10">
        <f t="shared" si="1"/>
        <v>1.976913730255164</v>
      </c>
      <c r="E21" s="10"/>
      <c r="F21" s="10">
        <f t="shared" si="1"/>
        <v>2.7816411682892905</v>
      </c>
      <c r="G21" s="10"/>
      <c r="H21" s="10">
        <f t="shared" si="1"/>
        <v>3.0100671140939599</v>
      </c>
      <c r="I21" s="10"/>
      <c r="J21" s="10">
        <f t="shared" si="1"/>
        <v>2.8745644599303137</v>
      </c>
      <c r="K21" s="10"/>
      <c r="L21" s="10">
        <f t="shared" si="1"/>
        <v>2.2671677485480015</v>
      </c>
    </row>
    <row r="22" spans="1:12" x14ac:dyDescent="0.3">
      <c r="A22" t="str">
        <f t="shared" si="0"/>
        <v>Limpopo</v>
      </c>
      <c r="B22" s="10">
        <f t="shared" si="1"/>
        <v>1.7724137931034483</v>
      </c>
      <c r="D22" s="10">
        <f t="shared" si="1"/>
        <v>1.7760814249363868</v>
      </c>
      <c r="E22" s="10"/>
      <c r="F22" s="10">
        <f t="shared" si="1"/>
        <v>2.2861736334405145</v>
      </c>
      <c r="G22" s="10"/>
      <c r="H22" s="10">
        <f t="shared" si="1"/>
        <v>2.2307692307692308</v>
      </c>
      <c r="I22" s="10"/>
      <c r="J22" s="10">
        <f t="shared" si="1"/>
        <v>2.95</v>
      </c>
      <c r="K22" s="10"/>
      <c r="L22" s="10">
        <f t="shared" si="1"/>
        <v>1.8874666666666666</v>
      </c>
    </row>
    <row r="23" spans="1:12" x14ac:dyDescent="0.3">
      <c r="A23" t="str">
        <f t="shared" si="0"/>
        <v>Mpumalanga</v>
      </c>
      <c r="B23" s="10">
        <f t="shared" si="1"/>
        <v>2.2535211267605635</v>
      </c>
      <c r="D23" s="10">
        <f t="shared" si="1"/>
        <v>2.8450704225352115</v>
      </c>
      <c r="E23" s="10"/>
      <c r="F23" s="10">
        <f t="shared" si="1"/>
        <v>2.79126213592233</v>
      </c>
      <c r="G23" s="10"/>
      <c r="H23" s="10">
        <f t="shared" si="1"/>
        <v>3.5158730158730158</v>
      </c>
      <c r="I23" s="10"/>
      <c r="J23" s="10">
        <f t="shared" si="1"/>
        <v>2.8571428571428572</v>
      </c>
      <c r="K23" s="10"/>
      <c r="L23" s="10">
        <f t="shared" si="1"/>
        <v>2.7522388059701495</v>
      </c>
    </row>
    <row r="24" spans="1:12" x14ac:dyDescent="0.3">
      <c r="A24" t="str">
        <f t="shared" si="0"/>
        <v>North West</v>
      </c>
      <c r="B24" s="10">
        <f t="shared" si="1"/>
        <v>2.2681992337164751</v>
      </c>
      <c r="D24" s="10">
        <f t="shared" si="1"/>
        <v>2.303370786516854</v>
      </c>
      <c r="E24" s="10"/>
      <c r="F24" s="10">
        <f t="shared" si="1"/>
        <v>2.9515570934256057</v>
      </c>
      <c r="G24" s="10"/>
      <c r="H24" s="10">
        <f t="shared" si="1"/>
        <v>2.8548387096774195</v>
      </c>
      <c r="I24" s="10"/>
      <c r="J24" s="10">
        <f t="shared" si="1"/>
        <v>3.2857142857142856</v>
      </c>
      <c r="K24" s="10"/>
      <c r="L24" s="10">
        <f t="shared" si="1"/>
        <v>2.5784190715181934</v>
      </c>
    </row>
    <row r="25" spans="1:12" x14ac:dyDescent="0.3">
      <c r="A25" t="str">
        <f t="shared" si="0"/>
        <v>Northern Cape</v>
      </c>
      <c r="B25" s="10">
        <f t="shared" si="1"/>
        <v>2.8148148148148149</v>
      </c>
      <c r="D25" s="10">
        <f t="shared" si="1"/>
        <v>3.3404255319148937</v>
      </c>
      <c r="E25" s="10"/>
      <c r="F25" s="10">
        <f t="shared" si="1"/>
        <v>2.9811320754716979</v>
      </c>
      <c r="G25" s="10"/>
      <c r="H25" s="10">
        <f t="shared" si="1"/>
        <v>3.21875</v>
      </c>
      <c r="I25" s="10"/>
      <c r="J25" s="10">
        <f t="shared" si="1"/>
        <v>2.7647058823529411</v>
      </c>
      <c r="K25" s="10"/>
      <c r="L25" s="10">
        <f t="shared" si="1"/>
        <v>3.0181818181818181</v>
      </c>
    </row>
    <row r="26" spans="1:12" x14ac:dyDescent="0.3">
      <c r="A26" t="str">
        <f t="shared" si="0"/>
        <v>Western Cape</v>
      </c>
      <c r="B26" s="10">
        <f t="shared" si="1"/>
        <v>2.8969072164948453</v>
      </c>
      <c r="D26" s="10">
        <f t="shared" si="1"/>
        <v>4.3899999999999997</v>
      </c>
      <c r="E26" s="10"/>
      <c r="F26" s="10">
        <f t="shared" si="1"/>
        <v>4.0423728813559325</v>
      </c>
      <c r="G26" s="10"/>
      <c r="H26" s="10">
        <f t="shared" si="1"/>
        <v>3.6851063829787236</v>
      </c>
      <c r="I26" s="10"/>
      <c r="J26" s="10">
        <f t="shared" si="1"/>
        <v>3.2525252525252526</v>
      </c>
      <c r="K26" s="10"/>
      <c r="L26" s="10">
        <f t="shared" si="1"/>
        <v>3.5761511216056672</v>
      </c>
    </row>
    <row r="27" spans="1:12" x14ac:dyDescent="0.3">
      <c r="A27" t="str">
        <f t="shared" si="0"/>
        <v>Grand Total</v>
      </c>
      <c r="B27" s="10">
        <f>B15/C15</f>
        <v>1.9877085162423178</v>
      </c>
      <c r="D27" s="10">
        <f>D15/E15</f>
        <v>2.3023735810113517</v>
      </c>
      <c r="E27" s="10"/>
      <c r="F27" s="10">
        <f>F15/G15</f>
        <v>2.8174520069808029</v>
      </c>
      <c r="G27" s="10"/>
      <c r="H27" s="10">
        <f>H15/I15</f>
        <v>3.3483050847457627</v>
      </c>
      <c r="I27" s="10"/>
      <c r="J27" s="10">
        <f>J15/K15</f>
        <v>3.3915978994748688</v>
      </c>
      <c r="K27" s="10"/>
      <c r="L27" s="10">
        <f>L15/M15</f>
        <v>2.5661425397367972</v>
      </c>
    </row>
    <row r="30" spans="1:12" x14ac:dyDescent="0.3">
      <c r="A30" t="s">
        <v>547</v>
      </c>
      <c r="B30" s="10">
        <f>AVERAGE(B27:F27)</f>
        <v>2.3691780347448241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FA7F5-A173-4C13-B29C-1A86B3D36955}">
  <sheetPr>
    <tabColor theme="0" tint="-0.249977111117893"/>
  </sheetPr>
  <dimension ref="A3:G14"/>
  <sheetViews>
    <sheetView workbookViewId="0">
      <selection activeCell="I24" sqref="I24"/>
    </sheetView>
  </sheetViews>
  <sheetFormatPr defaultRowHeight="14.4" x14ac:dyDescent="0.3"/>
  <cols>
    <col min="1" max="1" width="16.88671875" bestFit="1" customWidth="1"/>
    <col min="2" max="2" width="15.5546875" bestFit="1" customWidth="1"/>
    <col min="3" max="6" width="5.5546875" bestFit="1" customWidth="1"/>
    <col min="7" max="7" width="10.6640625" bestFit="1" customWidth="1"/>
  </cols>
  <sheetData>
    <row r="3" spans="1:7" x14ac:dyDescent="0.3">
      <c r="A3" s="85" t="s">
        <v>548</v>
      </c>
      <c r="B3" s="85" t="s">
        <v>540</v>
      </c>
    </row>
    <row r="4" spans="1:7" x14ac:dyDescent="0.3">
      <c r="A4" s="85" t="s">
        <v>543</v>
      </c>
      <c r="B4">
        <v>1</v>
      </c>
      <c r="C4">
        <v>2</v>
      </c>
      <c r="D4">
        <v>3</v>
      </c>
      <c r="E4">
        <v>4</v>
      </c>
      <c r="F4">
        <v>5</v>
      </c>
      <c r="G4" t="s">
        <v>546</v>
      </c>
    </row>
    <row r="5" spans="1:7" x14ac:dyDescent="0.3">
      <c r="A5" s="86" t="s">
        <v>395</v>
      </c>
      <c r="B5" s="11">
        <v>31.978750000000002</v>
      </c>
      <c r="C5" s="11">
        <v>32.568333333333328</v>
      </c>
      <c r="D5" s="11">
        <v>32.568333333333328</v>
      </c>
      <c r="E5" s="11">
        <v>32.53</v>
      </c>
      <c r="F5" s="11">
        <v>32.73714285714285</v>
      </c>
      <c r="G5" s="11">
        <v>32.489199999999961</v>
      </c>
    </row>
    <row r="6" spans="1:7" x14ac:dyDescent="0.3">
      <c r="A6" s="86" t="s">
        <v>401</v>
      </c>
      <c r="B6" s="11">
        <v>31.811999999999998</v>
      </c>
      <c r="C6" s="11">
        <v>31.811999999999998</v>
      </c>
      <c r="D6" s="11">
        <v>31.811999999999998</v>
      </c>
      <c r="E6" s="11">
        <v>31.811999999999998</v>
      </c>
      <c r="F6" s="11">
        <v>32.652499999999996</v>
      </c>
      <c r="G6" s="11">
        <v>31.952083333333324</v>
      </c>
    </row>
    <row r="7" spans="1:7" x14ac:dyDescent="0.3">
      <c r="A7" s="86" t="s">
        <v>406</v>
      </c>
      <c r="B7" s="11">
        <v>32.540000000000006</v>
      </c>
      <c r="C7" s="11">
        <v>32.540000000000006</v>
      </c>
      <c r="D7" s="11">
        <v>32.540000000000006</v>
      </c>
      <c r="E7" s="11">
        <v>32.540000000000006</v>
      </c>
      <c r="F7" s="11">
        <v>32.540000000000006</v>
      </c>
      <c r="G7" s="11">
        <v>32.540000000000006</v>
      </c>
    </row>
    <row r="8" spans="1:7" x14ac:dyDescent="0.3">
      <c r="A8" s="86" t="s">
        <v>501</v>
      </c>
      <c r="B8" s="11">
        <v>32.230833333333337</v>
      </c>
      <c r="C8" s="11">
        <v>32.230833333333337</v>
      </c>
      <c r="D8" s="11">
        <v>32.230833333333337</v>
      </c>
      <c r="E8" s="11">
        <v>32.230833333333337</v>
      </c>
      <c r="F8" s="11">
        <v>32.116363636363644</v>
      </c>
      <c r="G8" s="11">
        <v>32.209491525423708</v>
      </c>
    </row>
    <row r="9" spans="1:7" x14ac:dyDescent="0.3">
      <c r="A9" s="86" t="s">
        <v>413</v>
      </c>
      <c r="B9" s="11">
        <v>36.872</v>
      </c>
      <c r="C9" s="11">
        <v>36.872</v>
      </c>
      <c r="D9" s="11">
        <v>36.872</v>
      </c>
      <c r="E9" s="11">
        <v>36.872</v>
      </c>
      <c r="F9" s="11">
        <v>36.872</v>
      </c>
      <c r="G9" s="11">
        <v>36.872000000000007</v>
      </c>
    </row>
    <row r="10" spans="1:7" x14ac:dyDescent="0.3">
      <c r="A10" s="86" t="s">
        <v>416</v>
      </c>
      <c r="B10" s="11">
        <v>32.182499999999997</v>
      </c>
      <c r="C10" s="11">
        <v>32.182499999999997</v>
      </c>
      <c r="D10" s="11">
        <v>32.182499999999997</v>
      </c>
      <c r="E10" s="11">
        <v>32.182499999999997</v>
      </c>
      <c r="F10" s="11">
        <v>32.182499999999997</v>
      </c>
      <c r="G10" s="11">
        <v>32.182499999999997</v>
      </c>
    </row>
    <row r="11" spans="1:7" x14ac:dyDescent="0.3">
      <c r="A11" s="86" t="s">
        <v>419</v>
      </c>
      <c r="B11" s="11">
        <v>33.335000000000001</v>
      </c>
      <c r="C11" s="11">
        <v>33.335000000000001</v>
      </c>
      <c r="D11" s="11">
        <v>33.335000000000001</v>
      </c>
      <c r="E11" s="11">
        <v>33.335000000000001</v>
      </c>
      <c r="F11" s="11">
        <v>33.42</v>
      </c>
      <c r="G11" s="11">
        <v>33.348421052631579</v>
      </c>
    </row>
    <row r="12" spans="1:7" x14ac:dyDescent="0.3">
      <c r="A12" s="86" t="s">
        <v>420</v>
      </c>
      <c r="B12" s="11">
        <v>29.803999999999995</v>
      </c>
      <c r="C12" s="11">
        <v>29.803999999999995</v>
      </c>
      <c r="D12" s="11">
        <v>29.803999999999995</v>
      </c>
      <c r="E12" s="11">
        <v>29.460000000000004</v>
      </c>
      <c r="F12" s="11">
        <v>29.803999999999995</v>
      </c>
      <c r="G12" s="11">
        <v>29.746666666666638</v>
      </c>
    </row>
    <row r="13" spans="1:7" x14ac:dyDescent="0.3">
      <c r="A13" s="86" t="s">
        <v>421</v>
      </c>
      <c r="B13" s="11">
        <v>31.411666666666672</v>
      </c>
      <c r="C13" s="11">
        <v>31.357142857142858</v>
      </c>
      <c r="D13" s="11">
        <v>31.467500000000001</v>
      </c>
      <c r="E13" s="11">
        <v>31.467500000000001</v>
      </c>
      <c r="F13" s="11">
        <v>31.467500000000001</v>
      </c>
      <c r="G13" s="11">
        <v>31.437567567567541</v>
      </c>
    </row>
    <row r="14" spans="1:7" x14ac:dyDescent="0.3">
      <c r="A14" s="86" t="s">
        <v>546</v>
      </c>
      <c r="B14" s="11">
        <v>32.401250000000012</v>
      </c>
      <c r="C14" s="11">
        <v>32.459420289855075</v>
      </c>
      <c r="D14" s="11">
        <v>32.456285714285713</v>
      </c>
      <c r="E14" s="11">
        <v>32.467205882352935</v>
      </c>
      <c r="F14" s="11">
        <v>32.504193548387114</v>
      </c>
      <c r="G14" s="11">
        <v>32.457507507507501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75674-8B42-4B0E-9A08-376313DB9A43}">
  <sheetPr>
    <tabColor rgb="FF9966FF"/>
  </sheetPr>
  <dimension ref="A1:D18"/>
  <sheetViews>
    <sheetView workbookViewId="0">
      <selection activeCell="I24" sqref="I24"/>
    </sheetView>
  </sheetViews>
  <sheetFormatPr defaultRowHeight="14.4" x14ac:dyDescent="0.3"/>
  <cols>
    <col min="1" max="1" width="21.33203125" customWidth="1"/>
    <col min="2" max="2" width="9.109375" bestFit="1" customWidth="1"/>
  </cols>
  <sheetData>
    <row r="1" spans="1:4" x14ac:dyDescent="0.3">
      <c r="A1" t="s">
        <v>549</v>
      </c>
    </row>
    <row r="3" spans="1:4" x14ac:dyDescent="0.3">
      <c r="A3" t="s">
        <v>371</v>
      </c>
      <c r="B3" t="s">
        <v>550</v>
      </c>
      <c r="C3" t="s">
        <v>551</v>
      </c>
      <c r="D3" t="s">
        <v>552</v>
      </c>
    </row>
    <row r="4" spans="1:4" x14ac:dyDescent="0.3">
      <c r="A4" t="s">
        <v>395</v>
      </c>
      <c r="B4" s="52">
        <v>397</v>
      </c>
      <c r="C4" s="52">
        <v>439</v>
      </c>
      <c r="D4" s="52">
        <v>370</v>
      </c>
    </row>
    <row r="5" spans="1:4" x14ac:dyDescent="0.3">
      <c r="A5" t="s">
        <v>401</v>
      </c>
      <c r="B5" s="52">
        <v>168</v>
      </c>
      <c r="C5" s="52">
        <v>118</v>
      </c>
      <c r="D5" s="52">
        <v>100</v>
      </c>
    </row>
    <row r="6" spans="1:4" x14ac:dyDescent="0.3">
      <c r="A6" t="s">
        <v>406</v>
      </c>
      <c r="B6" s="52">
        <v>343</v>
      </c>
      <c r="C6" s="52">
        <v>204</v>
      </c>
      <c r="D6" s="52">
        <v>184</v>
      </c>
    </row>
    <row r="7" spans="1:4" x14ac:dyDescent="0.3">
      <c r="A7" t="s">
        <v>501</v>
      </c>
      <c r="B7" s="52">
        <v>562</v>
      </c>
      <c r="C7" s="52">
        <v>522</v>
      </c>
      <c r="D7" s="52">
        <v>444</v>
      </c>
    </row>
    <row r="8" spans="1:4" x14ac:dyDescent="0.3">
      <c r="A8" t="s">
        <v>413</v>
      </c>
      <c r="B8" s="52">
        <v>386</v>
      </c>
      <c r="C8" s="52">
        <v>403</v>
      </c>
      <c r="D8" s="52">
        <v>337</v>
      </c>
    </row>
    <row r="9" spans="1:4" x14ac:dyDescent="0.3">
      <c r="A9" t="s">
        <v>416</v>
      </c>
      <c r="B9" s="52">
        <v>232</v>
      </c>
      <c r="C9" s="52">
        <v>191</v>
      </c>
      <c r="D9" s="52">
        <v>161</v>
      </c>
    </row>
    <row r="10" spans="1:4" x14ac:dyDescent="0.3">
      <c r="A10" t="s">
        <v>419</v>
      </c>
      <c r="B10" s="52">
        <v>218</v>
      </c>
      <c r="C10" s="52">
        <v>180</v>
      </c>
      <c r="D10" s="52">
        <v>152</v>
      </c>
    </row>
    <row r="11" spans="1:4" x14ac:dyDescent="0.3">
      <c r="A11" t="s">
        <v>420</v>
      </c>
      <c r="B11" s="52">
        <v>67</v>
      </c>
      <c r="C11" s="52">
        <v>55</v>
      </c>
      <c r="D11" s="52">
        <v>44</v>
      </c>
    </row>
    <row r="12" spans="1:4" x14ac:dyDescent="0.3">
      <c r="A12" t="s">
        <v>421</v>
      </c>
      <c r="B12" s="52">
        <v>144</v>
      </c>
      <c r="C12" s="52">
        <v>102</v>
      </c>
      <c r="D12" s="52">
        <v>86</v>
      </c>
    </row>
    <row r="14" spans="1:4" x14ac:dyDescent="0.3">
      <c r="A14" t="s">
        <v>553</v>
      </c>
      <c r="B14" s="52">
        <f>SUM(B4:B12)</f>
        <v>2517</v>
      </c>
      <c r="C14" s="52">
        <f>SUM(C4:C12)</f>
        <v>2214</v>
      </c>
      <c r="D14" s="52">
        <f>SUM(D4:D12)</f>
        <v>1878</v>
      </c>
    </row>
    <row r="16" spans="1:4" x14ac:dyDescent="0.3">
      <c r="A16" t="s">
        <v>554</v>
      </c>
      <c r="B16" s="56">
        <f>B14*'Inflation ZAR'!$P$10</f>
        <v>3248.5089961461454</v>
      </c>
      <c r="C16" s="56">
        <f>C14*'Inflation ZAR'!$P$10</f>
        <v>2857.4489143693149</v>
      </c>
      <c r="D16" s="56">
        <f>D14*'Inflation ZAR'!$P$10</f>
        <v>2423.7981306167903</v>
      </c>
    </row>
    <row r="18" spans="2:4" x14ac:dyDescent="0.3">
      <c r="B18">
        <v>2.52</v>
      </c>
      <c r="C18">
        <v>2.21</v>
      </c>
      <c r="D18">
        <v>1.88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Outputs</vt:lpstr>
      <vt:lpstr>Output-Table</vt:lpstr>
      <vt:lpstr>Output-Inflation Adj</vt:lpstr>
      <vt:lpstr>Assumptions</vt:lpstr>
      <vt:lpstr>Unit Costs</vt:lpstr>
      <vt:lpstr>PerTeacherCost_1</vt:lpstr>
      <vt:lpstr>PerTeacherCost_2</vt:lpstr>
      <vt:lpstr>PerTeacherCost_3</vt:lpstr>
      <vt:lpstr>PerTeacherCost_4</vt:lpstr>
      <vt:lpstr>PerTeacherCost_5</vt:lpstr>
      <vt:lpstr>PerTeacherCost_6</vt:lpstr>
      <vt:lpstr>PerTeacherCost_7</vt:lpstr>
      <vt:lpstr>PerTeacherCost_8</vt:lpstr>
      <vt:lpstr>PerTeacherCost_9</vt:lpstr>
      <vt:lpstr>PerTeacherCost_10</vt:lpstr>
      <vt:lpstr>Lists</vt:lpstr>
      <vt:lpstr>Inflation ZAR</vt:lpstr>
      <vt:lpstr>School Nutrition</vt:lpstr>
      <vt:lpstr>SNAP Data</vt:lpstr>
      <vt:lpstr>SNAP Data Pivot (Teach Num)</vt:lpstr>
      <vt:lpstr>SNAP Data Pivot (LER)</vt:lpstr>
      <vt:lpstr>Output - Old Costing Model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Bianca Bohmer</dc:creator>
  <cp:keywords/>
  <dc:description/>
  <cp:lastModifiedBy>Bianca Bohmer</cp:lastModifiedBy>
  <cp:revision/>
  <dcterms:created xsi:type="dcterms:W3CDTF">2025-01-10T09:29:16Z</dcterms:created>
  <dcterms:modified xsi:type="dcterms:W3CDTF">2025-05-21T04:03:47Z</dcterms:modified>
  <cp:category/>
  <cp:contentStatus/>
</cp:coreProperties>
</file>